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showInkAnnotation="0" autoCompressPictures="0"/>
  <bookViews>
    <workbookView xWindow="620" yWindow="120" windowWidth="23860" windowHeight="14120" tabRatio="839"/>
  </bookViews>
  <sheets>
    <sheet name="READ THIS FIRST " sheetId="20" r:id="rId1"/>
    <sheet name="IS-BS Model" sheetId="26" r:id="rId2"/>
    <sheet name="Flow Diagram" sheetId="18" r:id="rId3"/>
    <sheet name="Wk1 Q1 SOLUTION" sheetId="36" r:id="rId4"/>
    <sheet name="Wk1 Q2 SOLUTION" sheetId="37" r:id="rId5"/>
    <sheet name="Q1" sheetId="22" r:id="rId6"/>
    <sheet name="Optional Long Form" sheetId="24" state="hidden" r:id="rId7"/>
    <sheet name="Q2" sheetId="28" r:id="rId8"/>
  </sheets>
  <definedNames>
    <definedName name="ANNFV" localSheetId="1">#REF!</definedName>
    <definedName name="ANNFV" localSheetId="6">#REF!</definedName>
    <definedName name="ANNFV" localSheetId="5">#REF!</definedName>
    <definedName name="ANNFV" localSheetId="7">#REF!</definedName>
    <definedName name="ANNFV" localSheetId="0">#REF!</definedName>
    <definedName name="ANNFV" localSheetId="3">#REF!</definedName>
    <definedName name="ANNFV" localSheetId="4">#REF!</definedName>
    <definedName name="ANNFV">#REF!</definedName>
    <definedName name="ANNPV" localSheetId="1">#REF!</definedName>
    <definedName name="ANNPV" localSheetId="6">#REF!</definedName>
    <definedName name="ANNPV" localSheetId="5">#REF!</definedName>
    <definedName name="ANNPV" localSheetId="7">#REF!</definedName>
    <definedName name="ANNPV" localSheetId="0">#REF!</definedName>
    <definedName name="ANNPV" localSheetId="3">#REF!</definedName>
    <definedName name="ANNPV" localSheetId="4">#REF!</definedName>
    <definedName name="ANNPV">#REF!</definedName>
    <definedName name="AUTOMATE" localSheetId="1">#REF!</definedName>
    <definedName name="AUTOMATE" localSheetId="6">#REF!</definedName>
    <definedName name="AUTOMATE" localSheetId="5">#REF!</definedName>
    <definedName name="AUTOMATE" localSheetId="7">#REF!</definedName>
    <definedName name="AUTOMATE" localSheetId="0">#REF!</definedName>
    <definedName name="AUTOMATE" localSheetId="3">#REF!</definedName>
    <definedName name="AUTOMATE" localSheetId="4">#REF!</definedName>
    <definedName name="AUTOMATE">#REF!</definedName>
    <definedName name="FVLUMP" localSheetId="6">#N/A</definedName>
    <definedName name="FVLUMP" localSheetId="4">#N/A</definedName>
    <definedName name="FVLUMP">#N/A</definedName>
    <definedName name="PVLUMP" localSheetId="6">#N/A</definedName>
    <definedName name="PVLUMP" localSheetId="4">#N/A</definedName>
    <definedName name="PVLUMP">#N/A</definedName>
    <definedName name="xxx" localSheetId="1">#REF!</definedName>
    <definedName name="xxx" localSheetId="7">#REF!</definedName>
    <definedName name="xxx" localSheetId="3">#REF!</definedName>
    <definedName name="xxx" localSheetId="4">#REF!</definedName>
    <definedName name="xxx">#REF!</definedName>
    <definedName name="xxxxxx" localSheetId="1">#REF!</definedName>
    <definedName name="xxxxxx" localSheetId="7">#REF!</definedName>
    <definedName name="xxxxxx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24" l="1"/>
  <c r="F5" i="24"/>
  <c r="E5" i="24"/>
  <c r="D5" i="24"/>
  <c r="C5" i="24"/>
  <c r="B5" i="24"/>
  <c r="I5" i="24"/>
  <c r="J5" i="24"/>
  <c r="K5" i="24"/>
  <c r="L5" i="24"/>
  <c r="M5" i="24"/>
  <c r="N5" i="24"/>
  <c r="O5" i="24"/>
  <c r="P5" i="24"/>
  <c r="Q5" i="24"/>
  <c r="R5" i="24"/>
  <c r="F6" i="24"/>
  <c r="E6" i="24"/>
  <c r="D6" i="24"/>
  <c r="C6" i="24"/>
  <c r="B6" i="24"/>
  <c r="I6" i="24"/>
  <c r="J6" i="24"/>
  <c r="K6" i="24"/>
  <c r="L6" i="24"/>
  <c r="M6" i="24"/>
  <c r="N6" i="24"/>
  <c r="O6" i="24"/>
  <c r="P6" i="24"/>
  <c r="Q6" i="24"/>
  <c r="R6" i="24"/>
  <c r="N8" i="24"/>
  <c r="O8" i="24"/>
  <c r="P8" i="24"/>
  <c r="Q8" i="24"/>
  <c r="R8" i="24"/>
  <c r="N9" i="24"/>
  <c r="O9" i="24"/>
  <c r="P9" i="24"/>
  <c r="Q9" i="24"/>
  <c r="R9" i="24"/>
  <c r="B10" i="24"/>
  <c r="C10" i="24"/>
  <c r="D10" i="24"/>
  <c r="E10" i="24"/>
  <c r="F10" i="24"/>
  <c r="G10" i="24"/>
  <c r="N10" i="24"/>
  <c r="O10" i="24"/>
  <c r="P10" i="24"/>
  <c r="Q10" i="24"/>
  <c r="R10" i="24"/>
  <c r="N11" i="24"/>
  <c r="O11" i="24"/>
  <c r="P11" i="24"/>
  <c r="Q11" i="24"/>
  <c r="R11" i="24"/>
  <c r="N12" i="24"/>
  <c r="O12" i="24"/>
  <c r="P12" i="24"/>
  <c r="Q12" i="24"/>
  <c r="R12" i="24"/>
  <c r="I13" i="24"/>
  <c r="N13" i="24"/>
  <c r="O13" i="24"/>
  <c r="P13" i="24"/>
  <c r="Q13" i="24"/>
  <c r="R13" i="24"/>
  <c r="N54" i="24"/>
  <c r="N14" i="24"/>
  <c r="O54" i="24"/>
  <c r="O14" i="24"/>
  <c r="P54" i="24"/>
  <c r="P14" i="24"/>
  <c r="Q54" i="24"/>
  <c r="Q14" i="24"/>
  <c r="R54" i="24"/>
  <c r="R14" i="24"/>
  <c r="I15" i="24"/>
  <c r="N15" i="24"/>
  <c r="O15" i="24"/>
  <c r="P15" i="24"/>
  <c r="Q15" i="24"/>
  <c r="R15" i="24"/>
  <c r="N16" i="24"/>
  <c r="O16" i="24"/>
  <c r="P16" i="24"/>
  <c r="Q16" i="24"/>
  <c r="R16" i="24"/>
  <c r="B17" i="24"/>
  <c r="C17" i="24"/>
  <c r="D17" i="24"/>
  <c r="E17" i="24"/>
  <c r="F17" i="24"/>
  <c r="G17" i="24"/>
  <c r="N17" i="24"/>
  <c r="O17" i="24"/>
  <c r="P17" i="24"/>
  <c r="Q17" i="24"/>
  <c r="R17" i="24"/>
  <c r="B18" i="24"/>
  <c r="C18" i="24"/>
  <c r="D18" i="24"/>
  <c r="E18" i="24"/>
  <c r="F18" i="24"/>
  <c r="G18" i="24"/>
  <c r="N18" i="24"/>
  <c r="O18" i="24"/>
  <c r="P18" i="24"/>
  <c r="Q18" i="24"/>
  <c r="R18" i="24"/>
  <c r="O19" i="24"/>
  <c r="P19" i="24"/>
  <c r="Q19" i="24"/>
  <c r="R19" i="24"/>
  <c r="N20" i="24"/>
  <c r="O20" i="24"/>
  <c r="P20" i="24"/>
  <c r="Q20" i="24"/>
  <c r="R20" i="24"/>
  <c r="N21" i="24"/>
  <c r="O21" i="24"/>
  <c r="P21" i="24"/>
  <c r="Q21" i="24"/>
  <c r="R21" i="24"/>
  <c r="B22" i="24"/>
  <c r="C22" i="24"/>
  <c r="D22" i="24"/>
  <c r="E22" i="24"/>
  <c r="F22" i="24"/>
  <c r="G22" i="24"/>
  <c r="N22" i="24"/>
  <c r="O22" i="24"/>
  <c r="P22" i="24"/>
  <c r="Q22" i="24"/>
  <c r="R22" i="24"/>
  <c r="I23" i="24"/>
  <c r="J23" i="24"/>
  <c r="K23" i="24"/>
  <c r="L23" i="24"/>
  <c r="M23" i="24"/>
  <c r="N23" i="24"/>
  <c r="O23" i="24"/>
  <c r="P23" i="24"/>
  <c r="Q23" i="24"/>
  <c r="R23" i="24"/>
  <c r="B24" i="24"/>
  <c r="C24" i="24"/>
  <c r="D24" i="24"/>
  <c r="E24" i="24"/>
  <c r="F24" i="24"/>
  <c r="G24" i="24"/>
  <c r="N24" i="24"/>
  <c r="O24" i="24"/>
  <c r="P24" i="24"/>
  <c r="Q24" i="24"/>
  <c r="R24" i="24"/>
  <c r="N25" i="24"/>
  <c r="O25" i="24"/>
  <c r="P25" i="24"/>
  <c r="Q25" i="24"/>
  <c r="R25" i="24"/>
  <c r="N26" i="24"/>
  <c r="O26" i="24"/>
  <c r="P26" i="24"/>
  <c r="Q26" i="24"/>
  <c r="R26" i="24"/>
  <c r="B27" i="24"/>
  <c r="C27" i="24"/>
  <c r="D27" i="24"/>
  <c r="E27" i="24"/>
  <c r="F27" i="24"/>
  <c r="G27" i="24"/>
  <c r="N27" i="24"/>
  <c r="O27" i="24"/>
  <c r="P27" i="24"/>
  <c r="Q27" i="24"/>
  <c r="R27" i="24"/>
  <c r="N28" i="24"/>
  <c r="O28" i="24"/>
  <c r="P28" i="24"/>
  <c r="Q28" i="24"/>
  <c r="R28" i="24"/>
  <c r="N29" i="24"/>
  <c r="O29" i="24"/>
  <c r="P29" i="24"/>
  <c r="Q29" i="24"/>
  <c r="R29" i="24"/>
  <c r="B30" i="24"/>
  <c r="C30" i="24"/>
  <c r="D30" i="24"/>
  <c r="E30" i="24"/>
  <c r="F30" i="24"/>
  <c r="G30" i="24"/>
  <c r="N30" i="24"/>
  <c r="O30" i="24"/>
  <c r="P30" i="24"/>
  <c r="Q30" i="24"/>
  <c r="R30" i="24"/>
  <c r="B34" i="24"/>
  <c r="C34" i="24"/>
  <c r="D34" i="24"/>
  <c r="E34" i="24"/>
  <c r="F34" i="24"/>
  <c r="G34" i="24"/>
  <c r="N39" i="24"/>
  <c r="N34" i="24"/>
  <c r="O39" i="24"/>
  <c r="O34" i="24"/>
  <c r="P39" i="24"/>
  <c r="P34" i="24"/>
  <c r="Q39" i="24"/>
  <c r="Q34" i="24"/>
  <c r="R39" i="24"/>
  <c r="R34" i="24"/>
  <c r="B35" i="24"/>
  <c r="C35" i="24"/>
  <c r="D35" i="24"/>
  <c r="E35" i="24"/>
  <c r="F35" i="24"/>
  <c r="G35" i="24"/>
  <c r="N35" i="24"/>
  <c r="O35" i="24"/>
  <c r="P35" i="24"/>
  <c r="Q35" i="24"/>
  <c r="R35" i="24"/>
  <c r="B37" i="24"/>
  <c r="C37" i="24"/>
  <c r="D37" i="24"/>
  <c r="E37" i="24"/>
  <c r="F37" i="24"/>
  <c r="G37" i="24"/>
  <c r="N37" i="24"/>
  <c r="O37" i="24"/>
  <c r="P37" i="24"/>
  <c r="Q37" i="24"/>
  <c r="R37" i="24"/>
  <c r="B38" i="24"/>
  <c r="C38" i="24"/>
  <c r="D38" i="24"/>
  <c r="E38" i="24"/>
  <c r="F38" i="24"/>
  <c r="G38" i="24"/>
  <c r="N38" i="24"/>
  <c r="O38" i="24"/>
  <c r="P38" i="24"/>
  <c r="Q38" i="24"/>
  <c r="R38" i="24"/>
  <c r="A43" i="24"/>
  <c r="B43" i="24"/>
  <c r="C43" i="24"/>
  <c r="D43" i="24"/>
  <c r="E43" i="24"/>
  <c r="F43" i="24"/>
  <c r="G43" i="24"/>
  <c r="I43" i="24"/>
  <c r="J43" i="24"/>
  <c r="K43" i="24"/>
  <c r="L43" i="24"/>
  <c r="M43" i="24"/>
  <c r="N43" i="24"/>
  <c r="O43" i="24"/>
  <c r="P43" i="24"/>
  <c r="Q43" i="24"/>
  <c r="R43" i="24"/>
  <c r="S43" i="24"/>
  <c r="B44" i="24"/>
  <c r="C44" i="24"/>
  <c r="D44" i="24"/>
  <c r="E44" i="24"/>
  <c r="F44" i="24"/>
  <c r="G44" i="24"/>
  <c r="I44" i="24"/>
  <c r="J44" i="24"/>
  <c r="K44" i="24"/>
  <c r="L44" i="24"/>
  <c r="M44" i="24"/>
  <c r="N44" i="24"/>
  <c r="O44" i="24"/>
  <c r="P44" i="24"/>
  <c r="Q44" i="24"/>
  <c r="R44" i="24"/>
  <c r="I47" i="24"/>
  <c r="J47" i="24"/>
  <c r="K47" i="24"/>
  <c r="L47" i="24"/>
  <c r="M47" i="24"/>
  <c r="N47" i="24"/>
  <c r="O47" i="24"/>
  <c r="P47" i="24"/>
  <c r="Q47" i="24"/>
  <c r="R47" i="24"/>
  <c r="N48" i="24"/>
  <c r="O48" i="24"/>
  <c r="P48" i="24"/>
  <c r="Q48" i="24"/>
  <c r="R48" i="24"/>
  <c r="N49" i="24"/>
  <c r="O49" i="24"/>
  <c r="P49" i="24"/>
  <c r="Q49" i="24"/>
  <c r="R49" i="24"/>
  <c r="T49" i="24"/>
  <c r="U49" i="24"/>
  <c r="V49" i="24"/>
  <c r="W49" i="24"/>
  <c r="X49" i="24"/>
  <c r="Y49" i="24"/>
  <c r="N50" i="24"/>
  <c r="O50" i="24"/>
  <c r="P50" i="24"/>
  <c r="Q50" i="24"/>
  <c r="R50" i="24"/>
  <c r="T50" i="24"/>
  <c r="U50" i="24"/>
  <c r="V50" i="24"/>
  <c r="W50" i="24"/>
  <c r="X50" i="24"/>
  <c r="Y50" i="24"/>
  <c r="N51" i="24"/>
  <c r="O51" i="24"/>
  <c r="P51" i="24"/>
  <c r="Q51" i="24"/>
  <c r="R51" i="24"/>
  <c r="B52" i="24"/>
  <c r="C52" i="24"/>
  <c r="D52" i="24"/>
  <c r="E52" i="24"/>
  <c r="F52" i="24"/>
  <c r="G52" i="24"/>
  <c r="N52" i="24"/>
  <c r="O52" i="24"/>
  <c r="P52" i="24"/>
  <c r="Q52" i="24"/>
  <c r="R52" i="24"/>
  <c r="N55" i="24"/>
  <c r="O55" i="24"/>
  <c r="P55" i="24"/>
  <c r="Q55" i="24"/>
  <c r="R55" i="24"/>
  <c r="B56" i="24"/>
  <c r="C56" i="24"/>
  <c r="D56" i="24"/>
  <c r="E56" i="24"/>
  <c r="F56" i="24"/>
  <c r="G56" i="24"/>
  <c r="N56" i="24"/>
  <c r="O56" i="24"/>
  <c r="P56" i="24"/>
  <c r="Q56" i="24"/>
  <c r="R56" i="24"/>
  <c r="N57" i="24"/>
  <c r="O57" i="24"/>
  <c r="P57" i="24"/>
  <c r="Q57" i="24"/>
  <c r="R57" i="24"/>
  <c r="N58" i="24"/>
  <c r="O58" i="24"/>
  <c r="P58" i="24"/>
  <c r="Q58" i="24"/>
  <c r="R58" i="24"/>
  <c r="N59" i="24"/>
  <c r="O59" i="24"/>
  <c r="P59" i="24"/>
  <c r="Q59" i="24"/>
  <c r="R59" i="24"/>
  <c r="N60" i="24"/>
  <c r="O60" i="24"/>
  <c r="P60" i="24"/>
  <c r="Q60" i="24"/>
  <c r="R60" i="24"/>
  <c r="B61" i="24"/>
  <c r="C61" i="24"/>
  <c r="D61" i="24"/>
  <c r="E61" i="24"/>
  <c r="F61" i="24"/>
  <c r="G61" i="24"/>
  <c r="N61" i="24"/>
  <c r="O61" i="24"/>
  <c r="P61" i="24"/>
  <c r="Q61" i="24"/>
  <c r="R61" i="24"/>
  <c r="B62" i="24"/>
  <c r="C62" i="24"/>
  <c r="D62" i="24"/>
  <c r="E62" i="24"/>
  <c r="F62" i="24"/>
  <c r="G62" i="24"/>
  <c r="N62" i="24"/>
  <c r="O62" i="24"/>
  <c r="P62" i="24"/>
  <c r="Q62" i="24"/>
  <c r="R62" i="24"/>
  <c r="N66" i="24"/>
  <c r="O66" i="24"/>
  <c r="P66" i="24"/>
  <c r="Q66" i="24"/>
  <c r="R66" i="24"/>
  <c r="T66" i="24"/>
  <c r="U66" i="24"/>
  <c r="V66" i="24"/>
  <c r="W66" i="24"/>
  <c r="X66" i="24"/>
  <c r="Y66" i="24"/>
  <c r="N67" i="24"/>
  <c r="O67" i="24"/>
  <c r="P67" i="24"/>
  <c r="Q67" i="24"/>
  <c r="R67" i="24"/>
  <c r="N68" i="24"/>
  <c r="O68" i="24"/>
  <c r="P68" i="24"/>
  <c r="Q68" i="24"/>
  <c r="R68" i="24"/>
  <c r="T68" i="24"/>
  <c r="U68" i="24"/>
  <c r="V68" i="24"/>
  <c r="W68" i="24"/>
  <c r="X68" i="24"/>
  <c r="Y68" i="24"/>
  <c r="N69" i="24"/>
  <c r="O69" i="24"/>
  <c r="P69" i="24"/>
  <c r="Q69" i="24"/>
  <c r="R69" i="24"/>
  <c r="N70" i="24"/>
  <c r="O70" i="24"/>
  <c r="P70" i="24"/>
  <c r="Q70" i="24"/>
  <c r="R70" i="24"/>
  <c r="N71" i="24"/>
  <c r="O71" i="24"/>
  <c r="P71" i="24"/>
  <c r="Q71" i="24"/>
  <c r="R71" i="24"/>
  <c r="B72" i="24"/>
  <c r="C72" i="24"/>
  <c r="D72" i="24"/>
  <c r="E72" i="24"/>
  <c r="F72" i="24"/>
  <c r="G72" i="24"/>
  <c r="N72" i="24"/>
  <c r="O72" i="24"/>
  <c r="P72" i="24"/>
  <c r="Q72" i="24"/>
  <c r="R72" i="24"/>
  <c r="N74" i="24"/>
  <c r="O74" i="24"/>
  <c r="P74" i="24"/>
  <c r="Q74" i="24"/>
  <c r="R74" i="24"/>
  <c r="N75" i="24"/>
  <c r="O75" i="24"/>
  <c r="P75" i="24"/>
  <c r="Q75" i="24"/>
  <c r="R75" i="24"/>
  <c r="N76" i="24"/>
  <c r="O76" i="24"/>
  <c r="P76" i="24"/>
  <c r="Q76" i="24"/>
  <c r="R76" i="24"/>
  <c r="N77" i="24"/>
  <c r="O77" i="24"/>
  <c r="P77" i="24"/>
  <c r="Q77" i="24"/>
  <c r="R77" i="24"/>
  <c r="N78" i="24"/>
  <c r="O78" i="24"/>
  <c r="P78" i="24"/>
  <c r="Q78" i="24"/>
  <c r="R78" i="24"/>
  <c r="B79" i="24"/>
  <c r="C79" i="24"/>
  <c r="D79" i="24"/>
  <c r="E79" i="24"/>
  <c r="F79" i="24"/>
  <c r="G79" i="24"/>
  <c r="N79" i="24"/>
  <c r="O79" i="24"/>
  <c r="P79" i="24"/>
  <c r="Q79" i="24"/>
  <c r="R79" i="24"/>
  <c r="B80" i="24"/>
  <c r="C80" i="24"/>
  <c r="D80" i="24"/>
  <c r="E80" i="24"/>
  <c r="F80" i="24"/>
  <c r="G80" i="24"/>
  <c r="N80" i="24"/>
  <c r="O80" i="24"/>
  <c r="P80" i="24"/>
  <c r="Q80" i="24"/>
  <c r="R80" i="24"/>
  <c r="N82" i="24"/>
  <c r="O82" i="24"/>
  <c r="P82" i="24"/>
  <c r="Q82" i="24"/>
  <c r="R82" i="24"/>
  <c r="N83" i="24"/>
  <c r="O83" i="24"/>
  <c r="P83" i="24"/>
  <c r="Q83" i="24"/>
  <c r="R83" i="24"/>
  <c r="N84" i="24"/>
  <c r="O84" i="24"/>
  <c r="P84" i="24"/>
  <c r="Q84" i="24"/>
  <c r="R84" i="24"/>
  <c r="I85" i="24"/>
  <c r="J85" i="24"/>
  <c r="K85" i="24"/>
  <c r="L85" i="24"/>
  <c r="M85" i="24"/>
  <c r="N85" i="24"/>
  <c r="O85" i="24"/>
  <c r="P85" i="24"/>
  <c r="Q85" i="24"/>
  <c r="R85" i="24"/>
  <c r="N86" i="24"/>
  <c r="O86" i="24"/>
  <c r="P86" i="24"/>
  <c r="Q86" i="24"/>
  <c r="R86" i="24"/>
  <c r="B87" i="24"/>
  <c r="C87" i="24"/>
  <c r="D87" i="24"/>
  <c r="E87" i="24"/>
  <c r="F87" i="24"/>
  <c r="G87" i="24"/>
  <c r="N87" i="24"/>
  <c r="O87" i="24"/>
  <c r="P87" i="24"/>
  <c r="Q87" i="24"/>
  <c r="R87" i="24"/>
  <c r="B89" i="24"/>
  <c r="C89" i="24"/>
  <c r="D89" i="24"/>
  <c r="E89" i="24"/>
  <c r="F89" i="24"/>
  <c r="G89" i="24"/>
  <c r="N89" i="24"/>
  <c r="O89" i="24"/>
  <c r="P89" i="24"/>
  <c r="Q89" i="24"/>
  <c r="R89" i="24"/>
  <c r="N91" i="24"/>
  <c r="O91" i="24"/>
  <c r="P91" i="24"/>
  <c r="Q91" i="24"/>
  <c r="R91" i="24"/>
  <c r="B94" i="24"/>
  <c r="C94" i="24"/>
  <c r="D94" i="24"/>
  <c r="E94" i="24"/>
  <c r="F94" i="24"/>
  <c r="G94" i="24"/>
  <c r="N94" i="24"/>
  <c r="O94" i="24"/>
  <c r="P94" i="24"/>
  <c r="Q94" i="24"/>
  <c r="R94" i="24"/>
  <c r="B95" i="24"/>
  <c r="C95" i="24"/>
  <c r="D95" i="24"/>
  <c r="E95" i="24"/>
  <c r="F95" i="24"/>
  <c r="G95" i="24"/>
  <c r="N95" i="24"/>
  <c r="O95" i="24"/>
  <c r="P95" i="24"/>
  <c r="Q95" i="24"/>
  <c r="R95" i="24"/>
  <c r="B97" i="24"/>
  <c r="C97" i="24"/>
  <c r="D97" i="24"/>
  <c r="E97" i="24"/>
  <c r="F97" i="24"/>
  <c r="G97" i="24"/>
  <c r="N97" i="24"/>
  <c r="O97" i="24"/>
  <c r="P97" i="24"/>
  <c r="Q97" i="24"/>
  <c r="R97" i="24"/>
  <c r="B98" i="24"/>
  <c r="C98" i="24"/>
  <c r="D98" i="24"/>
  <c r="E98" i="24"/>
  <c r="F98" i="24"/>
  <c r="G98" i="24"/>
  <c r="N98" i="24"/>
  <c r="O98" i="24"/>
  <c r="P98" i="24"/>
  <c r="Q98" i="24"/>
  <c r="R98" i="24"/>
  <c r="B99" i="24"/>
  <c r="C99" i="24"/>
  <c r="D99" i="24"/>
  <c r="E99" i="24"/>
  <c r="F99" i="24"/>
  <c r="G99" i="24"/>
  <c r="N99" i="24"/>
  <c r="O99" i="24"/>
  <c r="P99" i="24"/>
  <c r="Q99" i="24"/>
  <c r="R99" i="24"/>
  <c r="B100" i="24"/>
  <c r="C100" i="24"/>
  <c r="D100" i="24"/>
  <c r="E100" i="24"/>
  <c r="F100" i="24"/>
  <c r="G100" i="24"/>
  <c r="N100" i="24"/>
  <c r="O100" i="24"/>
  <c r="P100" i="24"/>
  <c r="Q100" i="24"/>
  <c r="R100" i="24"/>
  <c r="B101" i="24"/>
  <c r="C101" i="24"/>
  <c r="D101" i="24"/>
  <c r="E101" i="24"/>
  <c r="F101" i="24"/>
  <c r="G101" i="24"/>
  <c r="N101" i="24"/>
  <c r="O101" i="24"/>
  <c r="P101" i="24"/>
  <c r="Q101" i="24"/>
  <c r="R101" i="24"/>
  <c r="B104" i="24"/>
  <c r="C104" i="24"/>
  <c r="D104" i="24"/>
  <c r="E104" i="24"/>
  <c r="F104" i="24"/>
  <c r="G104" i="24"/>
  <c r="N104" i="24"/>
  <c r="O104" i="24"/>
  <c r="P104" i="24"/>
  <c r="Q104" i="24"/>
  <c r="R104" i="24"/>
  <c r="B105" i="24"/>
  <c r="C105" i="24"/>
  <c r="D105" i="24"/>
  <c r="E105" i="24"/>
  <c r="F105" i="24"/>
  <c r="G105" i="24"/>
  <c r="N105" i="24"/>
  <c r="O105" i="24"/>
  <c r="P105" i="24"/>
  <c r="Q105" i="24"/>
  <c r="R105" i="24"/>
  <c r="B106" i="24"/>
  <c r="C106" i="24"/>
  <c r="D106" i="24"/>
  <c r="E106" i="24"/>
  <c r="F106" i="24"/>
  <c r="G106" i="24"/>
  <c r="N106" i="24"/>
  <c r="O106" i="24"/>
  <c r="P106" i="24"/>
  <c r="Q106" i="24"/>
  <c r="R106" i="24"/>
  <c r="B107" i="24"/>
  <c r="C107" i="24"/>
  <c r="D107" i="24"/>
  <c r="E107" i="24"/>
  <c r="F107" i="24"/>
  <c r="G107" i="24"/>
  <c r="N107" i="24"/>
  <c r="O107" i="24"/>
  <c r="P107" i="24"/>
  <c r="Q107" i="24"/>
  <c r="R107" i="24"/>
  <c r="B110" i="24"/>
  <c r="C110" i="24"/>
  <c r="D110" i="24"/>
  <c r="E110" i="24"/>
  <c r="F110" i="24"/>
  <c r="G110" i="24"/>
  <c r="N110" i="24"/>
  <c r="O110" i="24"/>
  <c r="P110" i="24"/>
  <c r="Q110" i="24"/>
  <c r="R110" i="24"/>
  <c r="B111" i="24"/>
  <c r="C111" i="24"/>
  <c r="D111" i="24"/>
  <c r="E111" i="24"/>
  <c r="F111" i="24"/>
  <c r="G111" i="24"/>
  <c r="N111" i="24"/>
  <c r="O111" i="24"/>
  <c r="P111" i="24"/>
  <c r="Q111" i="24"/>
  <c r="R111" i="24"/>
  <c r="B114" i="24"/>
  <c r="C114" i="24"/>
  <c r="D114" i="24"/>
  <c r="E114" i="24"/>
  <c r="F114" i="24"/>
  <c r="G114" i="24"/>
  <c r="N114" i="24"/>
  <c r="O114" i="24"/>
  <c r="P114" i="24"/>
  <c r="Q114" i="24"/>
  <c r="R114" i="24"/>
  <c r="B115" i="24"/>
  <c r="C115" i="24"/>
  <c r="D115" i="24"/>
  <c r="E115" i="24"/>
  <c r="F115" i="24"/>
  <c r="G115" i="24"/>
  <c r="N115" i="24"/>
  <c r="O115" i="24"/>
  <c r="P115" i="24"/>
  <c r="Q115" i="24"/>
  <c r="R115" i="24"/>
  <c r="B116" i="24"/>
  <c r="C116" i="24"/>
  <c r="D116" i="24"/>
  <c r="E116" i="24"/>
  <c r="F116" i="24"/>
  <c r="G116" i="24"/>
  <c r="N116" i="24"/>
  <c r="O116" i="24"/>
  <c r="P116" i="24"/>
  <c r="Q116" i="24"/>
  <c r="R116" i="24"/>
  <c r="B117" i="24"/>
  <c r="C117" i="24"/>
  <c r="D117" i="24"/>
  <c r="E117" i="24"/>
  <c r="F117" i="24"/>
  <c r="G117" i="24"/>
  <c r="N117" i="24"/>
  <c r="O117" i="24"/>
  <c r="P117" i="24"/>
  <c r="Q117" i="24"/>
  <c r="R117" i="24"/>
  <c r="B118" i="24"/>
  <c r="C118" i="24"/>
  <c r="D118" i="24"/>
  <c r="E118" i="24"/>
  <c r="F118" i="24"/>
  <c r="G118" i="24"/>
  <c r="N118" i="24"/>
  <c r="O118" i="24"/>
  <c r="P118" i="24"/>
  <c r="Q118" i="24"/>
  <c r="R118" i="24"/>
  <c r="B119" i="24"/>
  <c r="C119" i="24"/>
  <c r="D119" i="24"/>
  <c r="E119" i="24"/>
  <c r="F119" i="24"/>
  <c r="G119" i="24"/>
  <c r="N119" i="24"/>
  <c r="O119" i="24"/>
  <c r="P119" i="24"/>
  <c r="Q119" i="24"/>
  <c r="R119" i="24"/>
  <c r="B124" i="24"/>
  <c r="B123" i="24"/>
  <c r="B122" i="24"/>
  <c r="B121" i="24"/>
  <c r="C124" i="24"/>
  <c r="C123" i="24"/>
  <c r="C122" i="24"/>
  <c r="C121" i="24"/>
  <c r="D124" i="24"/>
  <c r="D123" i="24"/>
  <c r="D122" i="24"/>
  <c r="D121" i="24"/>
  <c r="E124" i="24"/>
  <c r="E123" i="24"/>
  <c r="E122" i="24"/>
  <c r="E121" i="24"/>
  <c r="F124" i="24"/>
  <c r="F123" i="24"/>
  <c r="F122" i="24"/>
  <c r="F121" i="24"/>
  <c r="G124" i="24"/>
  <c r="G123" i="24"/>
  <c r="G122" i="24"/>
  <c r="G121" i="24"/>
  <c r="N124" i="24"/>
  <c r="N123" i="24"/>
  <c r="N122" i="24"/>
  <c r="N121" i="24"/>
  <c r="O124" i="24"/>
  <c r="O123" i="24"/>
  <c r="O122" i="24"/>
  <c r="O121" i="24"/>
  <c r="P124" i="24"/>
  <c r="P123" i="24"/>
  <c r="P122" i="24"/>
  <c r="P121" i="24"/>
  <c r="Q124" i="24"/>
  <c r="Q123" i="24"/>
  <c r="Q122" i="24"/>
  <c r="Q121" i="24"/>
  <c r="R124" i="24"/>
  <c r="R123" i="24"/>
  <c r="R122" i="24"/>
  <c r="R121" i="24"/>
  <c r="B125" i="24"/>
  <c r="C125" i="24"/>
  <c r="D125" i="24"/>
  <c r="E125" i="24"/>
  <c r="F125" i="24"/>
  <c r="G125" i="24"/>
  <c r="N125" i="24"/>
  <c r="O125" i="24"/>
  <c r="P125" i="24"/>
  <c r="Q125" i="24"/>
  <c r="R125" i="24"/>
  <c r="C128" i="24"/>
  <c r="D128" i="24"/>
  <c r="E128" i="24"/>
  <c r="F128" i="24"/>
  <c r="G128" i="24"/>
  <c r="N128" i="24"/>
  <c r="O128" i="24"/>
  <c r="P128" i="24"/>
  <c r="Q128" i="24"/>
  <c r="R128" i="24"/>
  <c r="B129" i="24"/>
  <c r="C129" i="24"/>
  <c r="D129" i="24"/>
  <c r="E129" i="24"/>
  <c r="F129" i="24"/>
  <c r="G129" i="24"/>
  <c r="N129" i="24"/>
  <c r="O129" i="24"/>
  <c r="P129" i="24"/>
  <c r="Q129" i="24"/>
  <c r="R129" i="24"/>
  <c r="B130" i="24"/>
  <c r="C130" i="24"/>
  <c r="D130" i="24"/>
  <c r="E130" i="24"/>
  <c r="F130" i="24"/>
  <c r="G130" i="24"/>
  <c r="N130" i="24"/>
  <c r="O130" i="24"/>
  <c r="P130" i="24"/>
  <c r="Q130" i="24"/>
  <c r="R130" i="24"/>
  <c r="B131" i="24"/>
  <c r="C131" i="24"/>
  <c r="D131" i="24"/>
  <c r="E131" i="24"/>
  <c r="F131" i="24"/>
  <c r="G131" i="24"/>
  <c r="N131" i="24"/>
  <c r="O131" i="24"/>
  <c r="P131" i="24"/>
  <c r="Q131" i="24"/>
  <c r="R131" i="24"/>
  <c r="D25" i="22"/>
  <c r="E25" i="22"/>
  <c r="F25" i="22"/>
  <c r="G25" i="22"/>
  <c r="C25" i="22"/>
  <c r="C5" i="22"/>
  <c r="D5" i="22"/>
  <c r="E5" i="22"/>
  <c r="F5" i="22"/>
  <c r="G5" i="22"/>
  <c r="C6" i="22"/>
  <c r="D6" i="22"/>
  <c r="E6" i="22"/>
  <c r="F6" i="22"/>
  <c r="G6" i="22"/>
  <c r="C12" i="22"/>
  <c r="D12" i="22"/>
  <c r="E12" i="22"/>
  <c r="F12" i="22"/>
  <c r="G12" i="22"/>
  <c r="C14" i="22"/>
  <c r="D14" i="22"/>
  <c r="E14" i="22"/>
  <c r="F14" i="22"/>
  <c r="G14" i="22"/>
  <c r="B19" i="22"/>
  <c r="D19" i="22"/>
  <c r="E19" i="22"/>
  <c r="F19" i="22"/>
  <c r="G19" i="22"/>
  <c r="C20" i="22"/>
  <c r="D20" i="22"/>
  <c r="E20" i="22"/>
  <c r="F20" i="22"/>
  <c r="G20" i="22"/>
  <c r="C21" i="22"/>
  <c r="D21" i="22"/>
  <c r="E21" i="22"/>
  <c r="F21" i="22"/>
  <c r="G21" i="22"/>
  <c r="C22" i="22"/>
  <c r="D22" i="22"/>
  <c r="E22" i="22"/>
  <c r="F22" i="22"/>
  <c r="G22" i="22"/>
  <c r="C23" i="22"/>
  <c r="D23" i="22"/>
  <c r="E23" i="22"/>
  <c r="F23" i="22"/>
  <c r="G23" i="22"/>
  <c r="C24" i="22"/>
  <c r="D24" i="22"/>
  <c r="E24" i="22"/>
  <c r="F24" i="22"/>
  <c r="G24" i="22"/>
  <c r="C26" i="22"/>
  <c r="D26" i="22"/>
  <c r="E26" i="22"/>
  <c r="F26" i="22"/>
  <c r="G26" i="22"/>
  <c r="C27" i="22"/>
  <c r="D27" i="22"/>
  <c r="E27" i="22"/>
  <c r="F27" i="22"/>
  <c r="G27" i="22"/>
  <c r="C28" i="22"/>
  <c r="D28" i="22"/>
  <c r="E28" i="22"/>
  <c r="F28" i="22"/>
  <c r="G28" i="22"/>
  <c r="C29" i="22"/>
  <c r="D29" i="22"/>
  <c r="E29" i="22"/>
  <c r="F29" i="22"/>
  <c r="G29" i="22"/>
  <c r="C30" i="22"/>
  <c r="D30" i="22"/>
  <c r="E30" i="22"/>
  <c r="F30" i="22"/>
  <c r="G30" i="22"/>
  <c r="C33" i="22"/>
  <c r="D33" i="22"/>
  <c r="E33" i="22"/>
  <c r="F33" i="22"/>
  <c r="G33" i="22"/>
  <c r="C34" i="22"/>
  <c r="D34" i="22"/>
  <c r="E34" i="22"/>
  <c r="F34" i="22"/>
  <c r="G34" i="22"/>
  <c r="C35" i="22"/>
  <c r="D35" i="22"/>
  <c r="E35" i="22"/>
  <c r="F35" i="22"/>
  <c r="G35" i="22"/>
  <c r="C37" i="22"/>
  <c r="D37" i="22"/>
  <c r="E37" i="22"/>
  <c r="F37" i="22"/>
  <c r="G37" i="22"/>
  <c r="C38" i="22"/>
  <c r="C39" i="22"/>
  <c r="D39" i="22"/>
  <c r="E39" i="22"/>
  <c r="F39" i="22"/>
  <c r="G39" i="22"/>
  <c r="C40" i="22"/>
  <c r="D40" i="22"/>
  <c r="E40" i="22"/>
  <c r="F40" i="22"/>
  <c r="G40" i="22"/>
  <c r="C42" i="22"/>
  <c r="D42" i="22"/>
  <c r="E42" i="22"/>
  <c r="F42" i="22"/>
  <c r="G42" i="22"/>
  <c r="I56" i="28"/>
  <c r="I63" i="28"/>
  <c r="D56" i="28"/>
  <c r="D67" i="28"/>
  <c r="I65" i="28"/>
  <c r="I67" i="28"/>
  <c r="C50" i="28"/>
  <c r="D25" i="28"/>
  <c r="E25" i="28"/>
  <c r="F25" i="28"/>
  <c r="G25" i="28"/>
  <c r="C25" i="28"/>
  <c r="C20" i="28"/>
  <c r="D20" i="28"/>
  <c r="E20" i="28"/>
  <c r="F20" i="28"/>
  <c r="G20" i="28"/>
  <c r="G33" i="28"/>
  <c r="G34" i="28"/>
  <c r="G35" i="28"/>
  <c r="G37" i="28"/>
  <c r="C21" i="28"/>
  <c r="C22" i="28"/>
  <c r="C23" i="28"/>
  <c r="C26" i="28"/>
  <c r="C27" i="28"/>
  <c r="C28" i="28"/>
  <c r="C29" i="28"/>
  <c r="C30" i="28"/>
  <c r="C39" i="28"/>
  <c r="D21" i="28"/>
  <c r="D22" i="28"/>
  <c r="D23" i="28"/>
  <c r="D26" i="28"/>
  <c r="D27" i="28"/>
  <c r="D28" i="28"/>
  <c r="D29" i="28"/>
  <c r="D30" i="28"/>
  <c r="D39" i="28"/>
  <c r="E21" i="28"/>
  <c r="E22" i="28"/>
  <c r="E23" i="28"/>
  <c r="E26" i="28"/>
  <c r="E27" i="28"/>
  <c r="E28" i="28"/>
  <c r="E29" i="28"/>
  <c r="E30" i="28"/>
  <c r="E39" i="28"/>
  <c r="F21" i="28"/>
  <c r="F22" i="28"/>
  <c r="F23" i="28"/>
  <c r="F26" i="28"/>
  <c r="F27" i="28"/>
  <c r="F28" i="28"/>
  <c r="F29" i="28"/>
  <c r="F30" i="28"/>
  <c r="F39" i="28"/>
  <c r="G21" i="28"/>
  <c r="G22" i="28"/>
  <c r="G23" i="28"/>
  <c r="G26" i="28"/>
  <c r="G27" i="28"/>
  <c r="G28" i="28"/>
  <c r="G29" i="28"/>
  <c r="G30" i="28"/>
  <c r="G39" i="28"/>
  <c r="G40" i="28"/>
  <c r="G42" i="28"/>
  <c r="F33" i="28"/>
  <c r="F34" i="28"/>
  <c r="F35" i="28"/>
  <c r="F37" i="28"/>
  <c r="F40" i="28"/>
  <c r="F42" i="28"/>
  <c r="E33" i="28"/>
  <c r="E34" i="28"/>
  <c r="E35" i="28"/>
  <c r="E37" i="28"/>
  <c r="E40" i="28"/>
  <c r="E42" i="28"/>
  <c r="D33" i="28"/>
  <c r="D34" i="28"/>
  <c r="D35" i="28"/>
  <c r="D37" i="28"/>
  <c r="D40" i="28"/>
  <c r="D42" i="28"/>
  <c r="C33" i="28"/>
  <c r="C34" i="28"/>
  <c r="C35" i="28"/>
  <c r="C37" i="28"/>
  <c r="C38" i="28"/>
  <c r="C40" i="28"/>
  <c r="C42" i="28"/>
  <c r="G24" i="28"/>
  <c r="F24" i="28"/>
  <c r="E24" i="28"/>
  <c r="D24" i="28"/>
  <c r="C24" i="28"/>
  <c r="G19" i="28"/>
  <c r="F19" i="28"/>
  <c r="E19" i="28"/>
  <c r="D19" i="28"/>
  <c r="B19" i="28"/>
  <c r="D14" i="36"/>
  <c r="D25" i="36"/>
  <c r="B14" i="36"/>
  <c r="B25" i="36"/>
  <c r="D17" i="36"/>
  <c r="D18" i="36"/>
  <c r="D19" i="36"/>
  <c r="D20" i="36"/>
  <c r="D24" i="36"/>
  <c r="B17" i="36"/>
  <c r="B18" i="36"/>
  <c r="B19" i="36"/>
  <c r="B20" i="36"/>
  <c r="B24" i="36"/>
  <c r="D23" i="36"/>
  <c r="B23" i="36"/>
  <c r="H237" i="37"/>
  <c r="H240" i="37"/>
  <c r="H238" i="37"/>
  <c r="H239" i="37"/>
  <c r="G141" i="37"/>
  <c r="G145" i="37"/>
  <c r="G150" i="37"/>
  <c r="G151" i="37"/>
  <c r="F141" i="37"/>
  <c r="F145" i="37"/>
  <c r="F150" i="37"/>
  <c r="F151" i="37"/>
  <c r="G218" i="37"/>
  <c r="E141" i="37"/>
  <c r="E145" i="37"/>
  <c r="E150" i="37"/>
  <c r="E151" i="37"/>
  <c r="F218" i="37"/>
  <c r="D141" i="37"/>
  <c r="D145" i="37"/>
  <c r="D150" i="37"/>
  <c r="D151" i="37"/>
  <c r="E218" i="37"/>
  <c r="C141" i="37"/>
  <c r="C145" i="37"/>
  <c r="C150" i="37"/>
  <c r="C151" i="37"/>
  <c r="D218" i="37"/>
  <c r="B141" i="37"/>
  <c r="B145" i="37"/>
  <c r="B150" i="37"/>
  <c r="B151" i="37"/>
  <c r="C218" i="37"/>
  <c r="B216" i="37"/>
  <c r="B217" i="37"/>
  <c r="B218" i="37"/>
  <c r="G106" i="37"/>
  <c r="G107" i="37"/>
  <c r="F106" i="37"/>
  <c r="F107" i="37"/>
  <c r="G217" i="37"/>
  <c r="E106" i="37"/>
  <c r="E107" i="37"/>
  <c r="F217" i="37"/>
  <c r="D106" i="37"/>
  <c r="D107" i="37"/>
  <c r="E217" i="37"/>
  <c r="C106" i="37"/>
  <c r="C107" i="37"/>
  <c r="D217" i="37"/>
  <c r="B106" i="37"/>
  <c r="B107" i="37"/>
  <c r="C217" i="37"/>
  <c r="G99" i="37"/>
  <c r="F99" i="37"/>
  <c r="G216" i="37"/>
  <c r="E99" i="37"/>
  <c r="F216" i="37"/>
  <c r="D99" i="37"/>
  <c r="E216" i="37"/>
  <c r="C99" i="37"/>
  <c r="D216" i="37"/>
  <c r="B99" i="37"/>
  <c r="C216" i="37"/>
  <c r="G215" i="37"/>
  <c r="F215" i="37"/>
  <c r="E215" i="37"/>
  <c r="D215" i="37"/>
  <c r="C215" i="37"/>
  <c r="G111" i="37"/>
  <c r="G113" i="37"/>
  <c r="G116" i="37"/>
  <c r="G176" i="37"/>
  <c r="G212" i="37"/>
  <c r="F111" i="37"/>
  <c r="F113" i="37"/>
  <c r="F116" i="37"/>
  <c r="F176" i="37"/>
  <c r="F212" i="37"/>
  <c r="E111" i="37"/>
  <c r="E113" i="37"/>
  <c r="E116" i="37"/>
  <c r="E176" i="37"/>
  <c r="E212" i="37"/>
  <c r="D111" i="37"/>
  <c r="D113" i="37"/>
  <c r="D116" i="37"/>
  <c r="D176" i="37"/>
  <c r="D212" i="37"/>
  <c r="C111" i="37"/>
  <c r="C113" i="37"/>
  <c r="C116" i="37"/>
  <c r="C176" i="37"/>
  <c r="C212" i="37"/>
  <c r="B111" i="37"/>
  <c r="B113" i="37"/>
  <c r="B116" i="37"/>
  <c r="B176" i="37"/>
  <c r="B212" i="37"/>
  <c r="G211" i="37"/>
  <c r="F211" i="37"/>
  <c r="E211" i="37"/>
  <c r="D211" i="37"/>
  <c r="C211" i="37"/>
  <c r="B211" i="37"/>
  <c r="G198" i="37"/>
  <c r="G210" i="37"/>
  <c r="F198" i="37"/>
  <c r="F210" i="37"/>
  <c r="E198" i="37"/>
  <c r="E210" i="37"/>
  <c r="D198" i="37"/>
  <c r="D210" i="37"/>
  <c r="C198" i="37"/>
  <c r="C210" i="37"/>
  <c r="B198" i="37"/>
  <c r="B210" i="37"/>
  <c r="G203" i="37"/>
  <c r="G209" i="37"/>
  <c r="F203" i="37"/>
  <c r="F209" i="37"/>
  <c r="E203" i="37"/>
  <c r="E209" i="37"/>
  <c r="D203" i="37"/>
  <c r="D209" i="37"/>
  <c r="C203" i="37"/>
  <c r="C209" i="37"/>
  <c r="B203" i="37"/>
  <c r="B209" i="37"/>
  <c r="G208" i="37"/>
  <c r="F208" i="37"/>
  <c r="E208" i="37"/>
  <c r="D208" i="37"/>
  <c r="C208" i="37"/>
  <c r="B208" i="37"/>
  <c r="G206" i="37"/>
  <c r="F206" i="37"/>
  <c r="E206" i="37"/>
  <c r="D206" i="37"/>
  <c r="C206" i="37"/>
  <c r="B206" i="37"/>
  <c r="G205" i="37"/>
  <c r="F205" i="37"/>
  <c r="E205" i="37"/>
  <c r="D205" i="37"/>
  <c r="C205" i="37"/>
  <c r="B205" i="37"/>
  <c r="G204" i="37"/>
  <c r="F204" i="37"/>
  <c r="E204" i="37"/>
  <c r="D204" i="37"/>
  <c r="C204" i="37"/>
  <c r="B204" i="37"/>
  <c r="G202" i="37"/>
  <c r="F202" i="37"/>
  <c r="E202" i="37"/>
  <c r="D202" i="37"/>
  <c r="C202" i="37"/>
  <c r="B202" i="37"/>
  <c r="G201" i="37"/>
  <c r="F201" i="37"/>
  <c r="E201" i="37"/>
  <c r="D201" i="37"/>
  <c r="C201" i="37"/>
  <c r="B201" i="37"/>
  <c r="G197" i="37"/>
  <c r="F197" i="37"/>
  <c r="E197" i="37"/>
  <c r="D197" i="37"/>
  <c r="C197" i="37"/>
  <c r="B197" i="37"/>
  <c r="G194" i="37"/>
  <c r="F194" i="37"/>
  <c r="E194" i="37"/>
  <c r="D194" i="37"/>
  <c r="C194" i="37"/>
  <c r="B194" i="37"/>
  <c r="G193" i="37"/>
  <c r="F193" i="37"/>
  <c r="E193" i="37"/>
  <c r="D193" i="37"/>
  <c r="C193" i="37"/>
  <c r="B193" i="37"/>
  <c r="G192" i="37"/>
  <c r="F192" i="37"/>
  <c r="E192" i="37"/>
  <c r="D192" i="37"/>
  <c r="C192" i="37"/>
  <c r="B192" i="37"/>
  <c r="G191" i="37"/>
  <c r="F191" i="37"/>
  <c r="E191" i="37"/>
  <c r="D191" i="37"/>
  <c r="C191" i="37"/>
  <c r="B191" i="37"/>
  <c r="G188" i="37"/>
  <c r="F188" i="37"/>
  <c r="E188" i="37"/>
  <c r="D188" i="37"/>
  <c r="C188" i="37"/>
  <c r="B188" i="37"/>
  <c r="G187" i="37"/>
  <c r="F187" i="37"/>
  <c r="E187" i="37"/>
  <c r="D187" i="37"/>
  <c r="C187" i="37"/>
  <c r="B187" i="37"/>
  <c r="G186" i="37"/>
  <c r="F186" i="37"/>
  <c r="E186" i="37"/>
  <c r="D186" i="37"/>
  <c r="C186" i="37"/>
  <c r="B186" i="37"/>
  <c r="G161" i="37"/>
  <c r="G185" i="37"/>
  <c r="F161" i="37"/>
  <c r="F185" i="37"/>
  <c r="E161" i="37"/>
  <c r="E185" i="37"/>
  <c r="D161" i="37"/>
  <c r="D185" i="37"/>
  <c r="C161" i="37"/>
  <c r="C185" i="37"/>
  <c r="B161" i="37"/>
  <c r="B185" i="37"/>
  <c r="G184" i="37"/>
  <c r="F184" i="37"/>
  <c r="E184" i="37"/>
  <c r="D184" i="37"/>
  <c r="C184" i="37"/>
  <c r="B184" i="37"/>
  <c r="G133" i="37"/>
  <c r="G182" i="37"/>
  <c r="F95" i="37"/>
  <c r="F133" i="37"/>
  <c r="F182" i="37"/>
  <c r="E95" i="37"/>
  <c r="E133" i="37"/>
  <c r="E182" i="37"/>
  <c r="D95" i="37"/>
  <c r="D133" i="37"/>
  <c r="D182" i="37"/>
  <c r="C95" i="37"/>
  <c r="C133" i="37"/>
  <c r="C182" i="37"/>
  <c r="B95" i="37"/>
  <c r="B133" i="37"/>
  <c r="B182" i="37"/>
  <c r="G181" i="37"/>
  <c r="F94" i="37"/>
  <c r="F181" i="37"/>
  <c r="E94" i="37"/>
  <c r="E181" i="37"/>
  <c r="D94" i="37"/>
  <c r="D132" i="37"/>
  <c r="D181" i="37"/>
  <c r="C94" i="37"/>
  <c r="C132" i="37"/>
  <c r="C181" i="37"/>
  <c r="B94" i="37"/>
  <c r="B132" i="37"/>
  <c r="B181" i="37"/>
  <c r="G168" i="37"/>
  <c r="G169" i="37"/>
  <c r="G178" i="37"/>
  <c r="F168" i="37"/>
  <c r="F169" i="37"/>
  <c r="F178" i="37"/>
  <c r="E168" i="37"/>
  <c r="E169" i="37"/>
  <c r="E178" i="37"/>
  <c r="D168" i="37"/>
  <c r="D169" i="37"/>
  <c r="D178" i="37"/>
  <c r="C168" i="37"/>
  <c r="C169" i="37"/>
  <c r="C178" i="37"/>
  <c r="B168" i="37"/>
  <c r="B169" i="37"/>
  <c r="B178" i="37"/>
  <c r="G132" i="37"/>
  <c r="F132" i="37"/>
  <c r="E132" i="37"/>
  <c r="A132" i="37"/>
  <c r="G124" i="37"/>
  <c r="G127" i="37"/>
  <c r="F124" i="37"/>
  <c r="F127" i="37"/>
  <c r="E124" i="37"/>
  <c r="E127" i="37"/>
  <c r="D124" i="37"/>
  <c r="D127" i="37"/>
  <c r="C124" i="37"/>
  <c r="C127" i="37"/>
  <c r="B124" i="37"/>
  <c r="B127" i="37"/>
  <c r="G126" i="37"/>
  <c r="F126" i="37"/>
  <c r="E126" i="37"/>
  <c r="D126" i="37"/>
  <c r="C126" i="37"/>
  <c r="B126" i="37"/>
  <c r="G123" i="37"/>
  <c r="F123" i="37"/>
  <c r="E123" i="37"/>
  <c r="D123" i="37"/>
  <c r="C123" i="37"/>
  <c r="B123" i="37"/>
  <c r="G119" i="37"/>
  <c r="F119" i="37"/>
  <c r="E119" i="37"/>
  <c r="D119" i="37"/>
  <c r="C119" i="37"/>
  <c r="B119" i="37"/>
  <c r="M81" i="37"/>
  <c r="M82" i="37"/>
  <c r="M83" i="37"/>
  <c r="H71" i="37"/>
  <c r="H70" i="37"/>
  <c r="H69" i="37"/>
  <c r="H68" i="37"/>
  <c r="M57" i="37"/>
  <c r="M58" i="37"/>
  <c r="M59" i="37"/>
  <c r="M60" i="37"/>
  <c r="M61" i="37"/>
  <c r="H61" i="37"/>
  <c r="H60" i="37"/>
  <c r="H59" i="37"/>
  <c r="H58" i="37"/>
  <c r="H57" i="37"/>
  <c r="H56" i="37"/>
  <c r="H45" i="37"/>
  <c r="H44" i="37"/>
  <c r="H35" i="37"/>
  <c r="H34" i="37"/>
  <c r="H33" i="37"/>
  <c r="H32" i="37"/>
  <c r="H24" i="37"/>
  <c r="H23" i="37"/>
  <c r="H22" i="37"/>
  <c r="H21" i="37"/>
  <c r="H20" i="37"/>
</calcChain>
</file>

<file path=xl/comments1.xml><?xml version="1.0" encoding="utf-8"?>
<comments xmlns="http://schemas.openxmlformats.org/spreadsheetml/2006/main">
  <authors>
    <author>abc</author>
  </authors>
  <commentList>
    <comment ref="B98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enter as negative</t>
        </r>
      </text>
    </comment>
    <comment ref="B99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formula sums rows 9 &amp; 10
</t>
        </r>
      </text>
    </comment>
    <comment ref="B144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enter as -
</t>
        </r>
      </text>
    </comment>
  </commentList>
</comments>
</file>

<file path=xl/comments2.xml><?xml version="1.0" encoding="utf-8"?>
<comments xmlns="http://schemas.openxmlformats.org/spreadsheetml/2006/main">
  <authors>
    <author>abc</author>
  </authors>
  <commentList>
    <comment ref="A3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enter inflows (revenue) as +
enter outflows (expenses) 
as -</t>
        </r>
      </text>
    </comment>
    <comment ref="H8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main driver for forecast</t>
        </r>
      </text>
    </comment>
    <comment ref="B9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enter as negative</t>
        </r>
      </text>
    </comment>
    <comment ref="H9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use historical ratio or strategic plan</t>
        </r>
      </text>
    </comment>
    <comment ref="N9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note purpose of - sign in formula</t>
        </r>
      </text>
    </comment>
    <comment ref="B10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formula sums rows 9 &amp; 10
</t>
        </r>
      </text>
    </comment>
    <comment ref="H11" authorId="0">
      <text>
        <r>
          <rPr>
            <b/>
            <sz val="8"/>
            <color indexed="81"/>
            <rFont val="Tahoma"/>
          </rPr>
          <t xml:space="preserve">abc:
use </t>
        </r>
        <r>
          <rPr>
            <sz val="8"/>
            <color indexed="81"/>
            <rFont val="Tahoma"/>
          </rPr>
          <t>history as a guide-no formula</t>
        </r>
        <r>
          <rPr>
            <b/>
            <sz val="8"/>
            <color indexed="81"/>
            <rFont val="Tahoma"/>
          </rPr>
          <t xml:space="preserve">
</t>
        </r>
      </text>
    </comment>
    <comment ref="H12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use historical ratio or strategic plan</t>
        </r>
      </text>
    </comment>
    <comment ref="H13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historical ratio or strategic plan</t>
        </r>
      </text>
    </comment>
    <comment ref="H14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depreciation expense is a % of ppe, determine %age</t>
        </r>
      </text>
    </comment>
    <comment ref="H15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historical ratio or strategic plan
</t>
        </r>
      </text>
    </comment>
    <comment ref="H16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
</t>
        </r>
      </text>
    </comment>
    <comment ref="H20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21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23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use historical or anticipated tax rate</t>
        </r>
      </text>
    </comment>
    <comment ref="H25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26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28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enter payout ratio - if constant of growing dollar dividend, change formula in M28
.Q28
</t>
        </r>
      </text>
    </comment>
    <comment ref="H29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39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47" authorId="0">
      <text>
        <r>
          <rPr>
            <b/>
            <sz val="8"/>
            <color indexed="81"/>
            <rFont val="Tahoma"/>
          </rPr>
          <t xml:space="preserve">abc:
</t>
        </r>
        <r>
          <rPr>
            <sz val="8"/>
            <color indexed="81"/>
            <rFont val="Tahoma"/>
          </rPr>
          <t xml:space="preserve">cash as % of revenue - if not, change forecast formulas
</t>
        </r>
      </text>
    </comment>
    <comment ref="H48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49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enter number of days from history or changed policy (stategy)
</t>
        </r>
      </text>
    </comment>
    <comment ref="H50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enter number of days from history or changed policy (stategy)</t>
        </r>
      </text>
    </comment>
    <comment ref="H51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54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not from a historical ratio-depends on planned new capital spending</t>
        </r>
      </text>
    </comment>
    <comment ref="B55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enter as -
</t>
        </r>
      </text>
    </comment>
    <comment ref="H55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no entry required -accumulated deprec is previous balance plus current-year deprec expense from inc statement -- if otherwise, must change formulas in M55.Q55
</t>
        </r>
      </text>
    </comment>
    <comment ref="H57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58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59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60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66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enter number of days from history or changed policy (stategy)</t>
        </r>
      </text>
    </comment>
    <comment ref="H67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68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or 30 days taxes
</t>
        </r>
      </text>
    </comment>
    <comment ref="H69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70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71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</t>
        </r>
      </text>
    </comment>
    <comment ref="H74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75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76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77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78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82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83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84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85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history as a guide - no formula</t>
        </r>
      </text>
    </comment>
    <comment ref="H86" authorId="0">
      <text>
        <r>
          <rPr>
            <b/>
            <sz val="8"/>
            <color indexed="81"/>
            <rFont val="Tahoma"/>
          </rPr>
          <t>abc:</t>
        </r>
        <r>
          <rPr>
            <sz val="8"/>
            <color indexed="81"/>
            <rFont val="Tahoma"/>
          </rPr>
          <t xml:space="preserve">
no entry required ---previous period retained earnings plus current year net profit less dividends from inc statement </t>
        </r>
      </text>
    </comment>
  </commentList>
</comments>
</file>

<file path=xl/sharedStrings.xml><?xml version="1.0" encoding="utf-8"?>
<sst xmlns="http://schemas.openxmlformats.org/spreadsheetml/2006/main" count="1250" uniqueCount="571">
  <si>
    <t>Q2 total 73 points of 100 for Wk 1</t>
    <phoneticPr fontId="8" type="noConversion"/>
  </si>
  <si>
    <t>INCOME STATEMENTS</t>
    <phoneticPr fontId="8" type="noConversion"/>
  </si>
  <si>
    <t>GO TO ROW 222…FIND 2 SUPPLEMENTARY QUESTIONS-ANSWERS</t>
    <phoneticPr fontId="8" type="noConversion"/>
  </si>
  <si>
    <t>ABOUT 'BUSINESS RISK' AND 'FINANCIAL RISK'</t>
    <phoneticPr fontId="8" type="noConversion"/>
  </si>
  <si>
    <t>THIS WILL BE IMPORTANT GOING FORWARD</t>
    <phoneticPr fontId="8" type="noConversion"/>
  </si>
  <si>
    <t>BALANCE SHEETS</t>
    <phoneticPr fontId="8" type="noConversion"/>
  </si>
  <si>
    <t>Appraise Cartwright's 'business risk'.</t>
    <phoneticPr fontId="4" type="noConversion"/>
  </si>
  <si>
    <t>See Cohen Finance Workbook  pps 29-32</t>
    <phoneticPr fontId="8" type="noConversion"/>
  </si>
  <si>
    <t>Appraise Cartwright's 'financial risk'.</t>
    <phoneticPr fontId="4" type="noConversion"/>
  </si>
  <si>
    <t>See Cohen Finance Workbook, pps 109-11</t>
    <phoneticPr fontId="8" type="noConversion"/>
  </si>
  <si>
    <t xml:space="preserve"> </t>
    <phoneticPr fontId="8" type="noConversion"/>
  </si>
  <si>
    <t>see formulas in cells.</t>
    <phoneticPr fontId="8" type="noConversion"/>
  </si>
  <si>
    <t>6 points for citing specifics about the trends</t>
    <phoneticPr fontId="8" type="noConversion"/>
  </si>
  <si>
    <t>Interest expense is increasing, which means that debt is increasing, substantially, increasing financial risk.</t>
    <phoneticPr fontId="8" type="noConversion"/>
  </si>
  <si>
    <t>6 points for citing coverage ratio in addition to debt ratio</t>
    <phoneticPr fontId="8" type="noConversion"/>
  </si>
  <si>
    <t>Row 32 and 33 debt ratios show long-term debt decreasing, which is true…but, the debt increase</t>
    <phoneticPr fontId="8" type="noConversion"/>
  </si>
  <si>
    <t>is classified in the balance sheet as short-term borrowing - not included in the ratios on row 32 &amp; 33.</t>
    <phoneticPr fontId="8" type="noConversion"/>
  </si>
  <si>
    <t>1c: Using the ratios below, appraise the trend (2001-03) of Cartwright's asset use (efficiency). Cite specific ratios to justify your analysis.</t>
    <phoneticPr fontId="8" type="noConversion"/>
  </si>
  <si>
    <t>4 points for distinguishing the two ratios</t>
    <phoneticPr fontId="8" type="noConversion"/>
  </si>
  <si>
    <t>12 points</t>
    <phoneticPr fontId="8" type="noConversion"/>
  </si>
  <si>
    <t>1f: Based on Cartwright's 2001-03 performance, make a qualitative summary judgment about it.</t>
    <phoneticPr fontId="8" type="noConversion"/>
  </si>
  <si>
    <t>Total 13 points</t>
    <phoneticPr fontId="8" type="noConversion"/>
  </si>
  <si>
    <t>Cartwright's financial statements are below for your convenience.</t>
    <phoneticPr fontId="8" type="noConversion"/>
  </si>
  <si>
    <t>Financial ratios are automatically calculated in the panels below the financial statements - at row 180.</t>
    <phoneticPr fontId="8" type="noConversion"/>
  </si>
  <si>
    <t xml:space="preserve">Examine the cell contents to learn how the ratio calculations work in Excel. Later, when you need to do </t>
    <phoneticPr fontId="8" type="noConversion"/>
  </si>
  <si>
    <t>calculations in Excel, you will know how. Never type-in in calculations done outside of Excel.</t>
    <phoneticPr fontId="8" type="noConversion"/>
  </si>
  <si>
    <t>1a: Using the ratios below, appraise the trend (2001-03) of Cartwright's liquidity. Cite specific ratios to justify your analysis.</t>
    <phoneticPr fontId="8" type="noConversion"/>
  </si>
  <si>
    <t>SCORING RUBRIC</t>
    <phoneticPr fontId="8" type="noConversion"/>
  </si>
  <si>
    <t xml:space="preserve">Excel HINT: Copy ratios from below row 180 using copy, </t>
    <phoneticPr fontId="8" type="noConversion"/>
  </si>
  <si>
    <t>6 points for citing general decline</t>
    <phoneticPr fontId="8" type="noConversion"/>
  </si>
  <si>
    <t>3 points each for citing specific sources of decline</t>
    <phoneticPr fontId="8" type="noConversion"/>
  </si>
  <si>
    <t>TOTAL 12 points</t>
    <phoneticPr fontId="8" type="noConversion"/>
  </si>
  <si>
    <t>1b: Using the ratios below, appraise the trend (2001-03) of Cartwright's leverage. Cite specific ratios to justify your analysis.</t>
    <phoneticPr fontId="8" type="noConversion"/>
  </si>
  <si>
    <t>is classified in the balance sheet as short-term borrowing - not included in the ratios on row 32 &amp; 33.</t>
    <phoneticPr fontId="8" type="noConversion"/>
  </si>
  <si>
    <t>1c: Using the ratios below, appraise the trend (2001-03) of Cartwright's asset use (efficiency). Cite specific ratios to justify your analysis.</t>
    <phoneticPr fontId="8" type="noConversion"/>
  </si>
  <si>
    <t>1c: How do the Cartwright &amp; Apex ROICs compare? What does this suggest about the two companies? Write answer in box.</t>
    <phoneticPr fontId="8" type="noConversion"/>
  </si>
  <si>
    <t>a.</t>
    <phoneticPr fontId="4" type="noConversion"/>
  </si>
  <si>
    <t>b.</t>
    <phoneticPr fontId="4" type="noConversion"/>
  </si>
  <si>
    <t>c.</t>
    <phoneticPr fontId="4" type="noConversion"/>
  </si>
  <si>
    <t>27 points of 100 points for Wk 1</t>
    <phoneticPr fontId="8" type="noConversion"/>
  </si>
  <si>
    <t xml:space="preserve"> Do not let line length overflow a box. Hit ENTER when the number of characters fills the row.</t>
    <phoneticPr fontId="8" type="noConversion"/>
  </si>
  <si>
    <t>Q2: FINANCIAL STATEMENT ANALYSIS WITH RATIOS</t>
    <phoneticPr fontId="8" type="noConversion"/>
  </si>
  <si>
    <t xml:space="preserve">First, read the first and last paragraphs of the case. </t>
    <phoneticPr fontId="8" type="noConversion"/>
  </si>
  <si>
    <t xml:space="preserve">Finally, read the rest of the case. </t>
    <phoneticPr fontId="8" type="noConversion"/>
  </si>
  <si>
    <t>42.2/348</t>
    <phoneticPr fontId="8" type="noConversion"/>
  </si>
  <si>
    <t>64.7/833</t>
    <phoneticPr fontId="8" type="noConversion"/>
  </si>
  <si>
    <t>42.2/933</t>
    <phoneticPr fontId="8" type="noConversion"/>
  </si>
  <si>
    <t>64.7/933</t>
    <phoneticPr fontId="8" type="noConversion"/>
  </si>
  <si>
    <t>86*.83/933</t>
    <phoneticPr fontId="8" type="noConversion"/>
  </si>
  <si>
    <t>1a: Why is Cartwright ROE higher than Apex ROE? Is it better? Why? Why not? Write answer in box.</t>
    <phoneticPr fontId="8" type="noConversion"/>
  </si>
  <si>
    <t>Higher leverage means greater default risk - is it bad? - maybe, maybe not….will be unraveled later in the course…always somewhat subjective.</t>
    <phoneticPr fontId="4" type="noConversion"/>
  </si>
  <si>
    <t>see formulas in cells.</t>
    <phoneticPr fontId="8" type="noConversion"/>
  </si>
  <si>
    <t>Depends on analysis of business risk (green-coded) and financial risk (red-coded) on IS/BS Model.</t>
    <phoneticPr fontId="4" type="noConversion"/>
  </si>
  <si>
    <t>6 points for citing specifics about the trends</t>
    <phoneticPr fontId="8" type="noConversion"/>
  </si>
  <si>
    <t>Interest expense is increasing, which means that debt is increasing, substantially, increasing financial risk.</t>
    <phoneticPr fontId="8" type="noConversion"/>
  </si>
  <si>
    <t>6 points for citing coverage ratio in addition to debt ratio</t>
    <phoneticPr fontId="8" type="noConversion"/>
  </si>
  <si>
    <t>1b: Why is Cartwright ROA lower than Apex ROA? What does it tell you about the two companies? Write answer in box.</t>
    <phoneticPr fontId="8" type="noConversion"/>
  </si>
  <si>
    <t>Does Cartwright have the ability to repay the loan principal? Explain by citing specifics from the forecast.</t>
  </si>
  <si>
    <t>Q2a</t>
  </si>
  <si>
    <t>Q2b</t>
  </si>
  <si>
    <t>significance to Cartwright's (and most other businesses too) external financing needs problem.</t>
  </si>
  <si>
    <t>As the banker, assume a lower growth rate in sales, and explain, showing specifics from the revised forecast,</t>
  </si>
  <si>
    <t>Revise the short-form forecast model from Q1, using the 'input cells zeroed' model at the top of this tab.</t>
  </si>
  <si>
    <t>how it helps Cartwright solve his external financing needed problem. Enter revised data in the blue cells, using your judgment.</t>
  </si>
  <si>
    <t>short term borrowing on the Cartwright balance sheet. HINT: What is the source of</t>
  </si>
  <si>
    <t xml:space="preserve">the data used in the ratio on row 14? </t>
  </si>
  <si>
    <t>Notice that the GRAY-colored part of the FLOW DIAGRAM is what you are learning about in Wks 1 &amp; 2.</t>
  </si>
  <si>
    <t>If your knowledge of accoounting terminology and ratios is sound, good. If not, re-read Chapters 1 &amp; 2.</t>
  </si>
  <si>
    <t>Do not let line length overflow a box. Hit ENTER when the number of characters fills the row.</t>
    <phoneticPr fontId="8" type="noConversion"/>
  </si>
  <si>
    <t>Q1: ROE, ROA, ROIC are given for Cartwright Lumber and Apex Lumber.</t>
    <phoneticPr fontId="8" type="noConversion"/>
  </si>
  <si>
    <t xml:space="preserve">Read the Cohen Finance Workbook chapters 1 &amp; 2, concentrating on the how-to's of ratio analysis in chapter 2. </t>
    <phoneticPr fontId="8" type="noConversion"/>
  </si>
  <si>
    <t>If you need it, chapter 1 acts as an accounting refresher.</t>
    <phoneticPr fontId="8" type="noConversion"/>
  </si>
  <si>
    <t>Cartwright Lumber</t>
    <phoneticPr fontId="8" type="noConversion"/>
  </si>
  <si>
    <t>Apex Lumber</t>
    <phoneticPr fontId="8" type="noConversion"/>
  </si>
  <si>
    <t>Interest rate</t>
    <phoneticPr fontId="8" type="noConversion"/>
  </si>
  <si>
    <t>Income tax rate</t>
    <phoneticPr fontId="8" type="noConversion"/>
  </si>
  <si>
    <t xml:space="preserve"> - Income tax</t>
    <phoneticPr fontId="8" type="noConversion"/>
  </si>
  <si>
    <t>revenue</t>
  </si>
  <si>
    <t>net profit margin</t>
  </si>
  <si>
    <t>CHANGE IN ASSETS (USES OF FUNDS)</t>
    <phoneticPr fontId="30" type="noConversion"/>
  </si>
  <si>
    <t>CHANGE IN LIABILITIES+EQUITY (SOURCES OF FUNDS)</t>
    <phoneticPr fontId="30" type="noConversion"/>
  </si>
  <si>
    <t>cents</t>
    <phoneticPr fontId="30" type="noConversion"/>
  </si>
  <si>
    <t>CURRENT ASSETS</t>
  </si>
  <si>
    <t>CURRENT LIABILITIES</t>
  </si>
  <si>
    <t>RECEIVABLES</t>
    <phoneticPr fontId="30" type="noConversion"/>
  </si>
  <si>
    <t>PAYABLES</t>
  </si>
  <si>
    <t>INVENTORY</t>
    <phoneticPr fontId="30" type="noConversion"/>
  </si>
  <si>
    <t>OTHER ACCRUALS</t>
  </si>
  <si>
    <t>CA/SALES</t>
  </si>
  <si>
    <t>CL/SALES</t>
  </si>
  <si>
    <t>FIXED ASSETS</t>
  </si>
  <si>
    <t>LONG-TERM DEBT</t>
  </si>
  <si>
    <t>PLANT</t>
  </si>
  <si>
    <t>PROPERTY</t>
  </si>
  <si>
    <t>EQUIPMENT</t>
  </si>
  <si>
    <t>INCR IN RET EARN/SALES</t>
    <phoneticPr fontId="30" type="noConversion"/>
  </si>
  <si>
    <t>FA/SALES</t>
    <phoneticPr fontId="30" type="noConversion"/>
  </si>
  <si>
    <t>The short-form forecasting model (Q1 tab) shows 2003 as the base year (historical) and five forecast years, 2004-08.</t>
  </si>
  <si>
    <t>his external financing needs, supported by a revised forecast.</t>
  </si>
  <si>
    <t>Discuss how the interest expense (row 25) calculation works and whether or not it includes the</t>
  </si>
  <si>
    <t>Show your understanding of the short-form forecasting model by answering the questions in the Q1 boxes.</t>
  </si>
  <si>
    <t>Q1a</t>
  </si>
  <si>
    <t>Q1b</t>
  </si>
  <si>
    <t>Q1c</t>
  </si>
  <si>
    <t>Q1d</t>
  </si>
  <si>
    <t xml:space="preserve">THERE IS NO SINGLE CORRECT ANSWER TO THIS CASE. </t>
    <phoneticPr fontId="8" type="noConversion"/>
  </si>
  <si>
    <t xml:space="preserve"> </t>
  </si>
  <si>
    <t xml:space="preserve">WORKING CAPITAL </t>
  </si>
  <si>
    <t>MARKET MULTIPLES: P/E, MV/BV, REV, EBIT</t>
  </si>
  <si>
    <r>
      <t xml:space="preserve">and making a judgment about Cartwright's business, Wk 2 </t>
    </r>
    <r>
      <rPr>
        <u/>
        <sz val="11"/>
        <color indexed="8"/>
        <rFont val="Calibri"/>
      </rPr>
      <t>forecasts the financial statements five years</t>
    </r>
  </si>
  <si>
    <r>
      <rPr>
        <u/>
        <sz val="11"/>
        <color indexed="8"/>
        <rFont val="Calibri"/>
      </rPr>
      <t>into the future</t>
    </r>
    <r>
      <rPr>
        <sz val="11"/>
        <color indexed="8"/>
        <rFont val="Calibri"/>
        <family val="2"/>
      </rPr>
      <t xml:space="preserve"> so you can understand the relationship between sales growth and external financing needs (EFN).</t>
    </r>
  </si>
  <si>
    <t>=B3+(B3*C4)</t>
  </si>
  <si>
    <t>=C5*C20</t>
  </si>
  <si>
    <t>=C20-C21</t>
  </si>
  <si>
    <t>=C6*C20</t>
  </si>
  <si>
    <t>=C22-C23</t>
  </si>
  <si>
    <t>=C10*C26</t>
  </si>
  <si>
    <t>=C11*C28</t>
  </si>
  <si>
    <t>=C28-C29</t>
  </si>
  <si>
    <t>=C12*C20</t>
  </si>
  <si>
    <t>=C33+C34</t>
  </si>
  <si>
    <t>=C14*C20</t>
  </si>
  <si>
    <t>=B15+C30</t>
  </si>
  <si>
    <t>=C37+C38+C39</t>
  </si>
  <si>
    <t>=C35-C40</t>
  </si>
  <si>
    <t>TOTAL FORECASTED SOURCES</t>
    <phoneticPr fontId="30" type="noConversion"/>
  </si>
  <si>
    <t xml:space="preserve"> </t>
    <phoneticPr fontId="30" type="noConversion"/>
  </si>
  <si>
    <t>EXTERNAL FINANCING NEEDED</t>
  </si>
  <si>
    <t>TOTAL FORECASTED  USES</t>
    <phoneticPr fontId="30" type="noConversion"/>
  </si>
  <si>
    <t>ADJUSTED TOTAL FORECASTED SOURCES</t>
    <phoneticPr fontId="30" type="noConversion"/>
  </si>
  <si>
    <t xml:space="preserve">Treat accounting as a foreign language that must be mastered; without it you understand little or nothing. Know the content of </t>
  </si>
  <si>
    <t>How much does Cartwright need to borrow and when? Explain by citing specifics from the forecast.</t>
  </si>
  <si>
    <t>Does Cartwright have the ability to pay the interest expense? Explain by citing specifics from the forecast.</t>
  </si>
  <si>
    <t xml:space="preserve">    shareholder's equity</t>
  </si>
  <si>
    <t xml:space="preserve">Total liabilities and </t>
  </si>
  <si>
    <t>Equity</t>
  </si>
  <si>
    <t>=C7</t>
  </si>
  <si>
    <t>Total assets</t>
  </si>
  <si>
    <t>=C13</t>
  </si>
  <si>
    <t>Net fixed assets</t>
  </si>
  <si>
    <t>BALANCE SHEET</t>
  </si>
  <si>
    <t>=C26-C27</t>
  </si>
  <si>
    <t>Additions to retained earnings</t>
  </si>
  <si>
    <t>Dividends paid</t>
  </si>
  <si>
    <t>=C24-C25</t>
  </si>
  <si>
    <t>Earnings after tax</t>
  </si>
  <si>
    <t>Tax</t>
  </si>
  <si>
    <t>Earnings before tax</t>
  </si>
  <si>
    <t>GSA expense</t>
  </si>
  <si>
    <t>I/S &amp; B/S FORECAST</t>
  </si>
  <si>
    <t>HISTORICAL RATIOS</t>
  </si>
  <si>
    <t>2-K-WACC</t>
  </si>
  <si>
    <t>DEBT</t>
  </si>
  <si>
    <t>1-HISTORICAL RATIOS</t>
  </si>
  <si>
    <t>EBIT CHART</t>
  </si>
  <si>
    <t>5-EQUITY VALUATION</t>
  </si>
  <si>
    <t>EQUITY</t>
  </si>
  <si>
    <t>I/S, B/S, &amp; RATIOS</t>
  </si>
  <si>
    <t>LONG-FORM FORECAST</t>
  </si>
  <si>
    <r>
      <t>4-FORECAST &amp;</t>
    </r>
    <r>
      <rPr>
        <sz val="8"/>
        <color indexed="10"/>
        <rFont val="Arial"/>
        <family val="2"/>
      </rPr>
      <t xml:space="preserve"> EFN</t>
    </r>
  </si>
  <si>
    <t>3-CAPITAL BUDGETING</t>
  </si>
  <si>
    <t>EFN</t>
  </si>
  <si>
    <t>DEBT  EQUITY</t>
  </si>
  <si>
    <t>FINANCING</t>
  </si>
  <si>
    <t>ANALYSIS STEPS:</t>
  </si>
  <si>
    <t>COST OF CAPITAL</t>
  </si>
  <si>
    <t xml:space="preserve">   Total liabilities &amp; equity</t>
  </si>
  <si>
    <t xml:space="preserve">   Total assets</t>
  </si>
  <si>
    <t xml:space="preserve">CASH FLOW   </t>
  </si>
  <si>
    <t>Reinvested in the business</t>
  </si>
  <si>
    <t xml:space="preserve">                          K-WACC</t>
  </si>
  <si>
    <t>Dividends</t>
  </si>
  <si>
    <t xml:space="preserve">   Total non-current liabilities</t>
  </si>
  <si>
    <t>Net profit after tax</t>
  </si>
  <si>
    <t>Revenue</t>
  </si>
  <si>
    <t>EBIT</t>
  </si>
  <si>
    <t>FINANCIAL LEVERAGE</t>
  </si>
  <si>
    <t>COST OF EQUITY</t>
  </si>
  <si>
    <t>OPERATING LEVERAGE</t>
  </si>
  <si>
    <t>Deferred tax liabilities</t>
  </si>
  <si>
    <t>Goodwill</t>
  </si>
  <si>
    <t>Income tax</t>
  </si>
  <si>
    <t>Chapter 3 discusses the Wk 2 assignment, based on the short-form forecasting explained step-by-step</t>
  </si>
  <si>
    <t>a</t>
  </si>
  <si>
    <t>b</t>
  </si>
  <si>
    <t>c</t>
  </si>
  <si>
    <t>Interest, finance costs</t>
    <phoneticPr fontId="0" type="noConversion"/>
  </si>
  <si>
    <t>Stockholder's equity (Net worth)</t>
    <phoneticPr fontId="0" type="noConversion"/>
  </si>
  <si>
    <t>Preferred stock</t>
    <phoneticPr fontId="0" type="noConversion"/>
  </si>
  <si>
    <t>Common stock</t>
    <phoneticPr fontId="0" type="noConversion"/>
  </si>
  <si>
    <t>Additional paid-in-capital</t>
    <phoneticPr fontId="0" type="noConversion"/>
  </si>
  <si>
    <t>Retained earnings</t>
    <phoneticPr fontId="0" type="noConversion"/>
  </si>
  <si>
    <t>Following the Wk 1 assignment on financial ratio analysis of the historical financial statements</t>
  </si>
  <si>
    <t>Reading</t>
  </si>
  <si>
    <t>IT IS VITAL THAT YOU STUDY THE WK 1 SOLUTIONS TEMPLATE BEFORE PROCEEDING WITH THE WK 2 ASSIGNMENT.</t>
  </si>
  <si>
    <t>The forecast assumptions are entered for you in C4.G15.</t>
  </si>
  <si>
    <t>Then, as the banker, explain to Mr. Cartwright why he must reduce his sales growth rate to reduce</t>
  </si>
  <si>
    <t>model with zeros in the assumption cells C4,G15, so you can forecast a scenario more to the banker's</t>
  </si>
  <si>
    <t>liking than the scenario in the Q1 &amp; Q2 tab.</t>
  </si>
  <si>
    <t>=(C7+C8)*C9</t>
  </si>
  <si>
    <t>FOR EACH $1 CHANGE IN REVENUE:</t>
    <phoneticPr fontId="30" type="noConversion"/>
  </si>
  <si>
    <t>Assumptions:</t>
  </si>
  <si>
    <t>Dividend/earnings after tax</t>
  </si>
  <si>
    <t>Tax rate</t>
  </si>
  <si>
    <t>PERFECTION IS NOT EXPECTED. THIS IS WORK-IN-PROCESS;</t>
    <phoneticPr fontId="8" type="noConversion"/>
  </si>
  <si>
    <t>NOT FINISHED PRODUCT…I.E., A LEARNING EXPERIENCE.</t>
    <phoneticPr fontId="8" type="noConversion"/>
  </si>
  <si>
    <t>BUT, YOU MUST MAKE A CLEAR RECOMMENDATION BASED ON THE</t>
    <phoneticPr fontId="8" type="noConversion"/>
  </si>
  <si>
    <t xml:space="preserve"> </t>
    <phoneticPr fontId="8" type="noConversion"/>
  </si>
  <si>
    <t>Retained earnings</t>
  </si>
  <si>
    <t>Common stock</t>
  </si>
  <si>
    <t xml:space="preserve"> </t>
    <phoneticPr fontId="8" type="noConversion"/>
  </si>
  <si>
    <t>Questions</t>
    <phoneticPr fontId="8" type="noConversion"/>
  </si>
  <si>
    <t>Learning Objectives</t>
    <phoneticPr fontId="8" type="noConversion"/>
  </si>
  <si>
    <t>Inventories</t>
  </si>
  <si>
    <t>I.e., EFN = 0, and the finance costs on the income statement are consistent with the amount of debt</t>
    <phoneticPr fontId="8" type="noConversion"/>
  </si>
  <si>
    <t>ASSETS</t>
  </si>
  <si>
    <t>FINANCIAL STATEMENT FORECAST &amp; EXTERNAL FINANCING NEEDED  ANALYSIS</t>
  </si>
  <si>
    <t>enter data in blue cells only - see comment boxes</t>
  </si>
  <si>
    <t xml:space="preserve">  ………………………….forecast assumptions…………………………………..</t>
  </si>
  <si>
    <t xml:space="preserve">  ………………….forecast……………………..</t>
  </si>
  <si>
    <t>PERIOD</t>
  </si>
  <si>
    <t>JANUARY 1-DECEMBER 31</t>
  </si>
  <si>
    <t>revenue growth rate</t>
  </si>
  <si>
    <t>cost of sales/revenue</t>
  </si>
  <si>
    <t>estimated amount</t>
  </si>
  <si>
    <t>Distribution costs</t>
  </si>
  <si>
    <t>cost/revenue</t>
  </si>
  <si>
    <t>Administrative costs</t>
  </si>
  <si>
    <t>Depreciation &amp; amortization expense</t>
  </si>
  <si>
    <t>% of ppe</t>
  </si>
  <si>
    <t>Other operating costs</t>
  </si>
  <si>
    <t>Restructuring costs</t>
  </si>
  <si>
    <t>ENTERPRISE VALUE USING FREE CASH FLOW</t>
  </si>
  <si>
    <t>see warning at H133</t>
  </si>
  <si>
    <t>CARTWRIGHT</t>
    <phoneticPr fontId="8" type="noConversion"/>
  </si>
  <si>
    <t>……………………historical…………………………….</t>
  </si>
  <si>
    <t xml:space="preserve">                                       BALANCE SHEET</t>
  </si>
  <si>
    <t>INCOME STATEMENT</t>
  </si>
  <si>
    <t xml:space="preserve">THE PURPOSE OF THE ASSIGNMENT IS TO LEARN THE PROCESS OF </t>
    <phoneticPr fontId="8" type="noConversion"/>
  </si>
  <si>
    <t>FINANCIAL STATEMENT ANALYSIS AND FORECASTING.</t>
    <phoneticPr fontId="8" type="noConversion"/>
  </si>
  <si>
    <t xml:space="preserve">RESULTS OF YOUR ANALYSIS. </t>
    <phoneticPr fontId="8" type="noConversion"/>
  </si>
  <si>
    <t>VALUATION</t>
  </si>
  <si>
    <t>K-WACC</t>
  </si>
  <si>
    <t>OP &amp; CAP NATCF, NPV, IRR, PAYBACK</t>
  </si>
  <si>
    <t>CAPITAL BUDGETING</t>
  </si>
  <si>
    <t>timing</t>
  </si>
  <si>
    <t>flexblty</t>
  </si>
  <si>
    <t>mktblty</t>
  </si>
  <si>
    <t>control</t>
  </si>
  <si>
    <t>risk</t>
  </si>
  <si>
    <t>income</t>
  </si>
  <si>
    <t>6-FINANCING</t>
  </si>
  <si>
    <t>Interest rate</t>
  </si>
  <si>
    <t>Current portion long-term debt</t>
  </si>
  <si>
    <t>GS&amp;A expenses/net sales</t>
  </si>
  <si>
    <t>Cost of goods sold/net sales</t>
  </si>
  <si>
    <t>Growth rate in net sales</t>
  </si>
  <si>
    <t>Net Sales</t>
  </si>
  <si>
    <t>ENTER DATA IN BLUE-COLORED CELLS</t>
  </si>
  <si>
    <t>Cartwright Lumber Company</t>
    <phoneticPr fontId="8" type="noConversion"/>
  </si>
  <si>
    <t>Preferred stock</t>
  </si>
  <si>
    <t xml:space="preserve">   Total liabilities</t>
  </si>
  <si>
    <t>Long-term debt</t>
  </si>
  <si>
    <t xml:space="preserve">   Total current liabilities</t>
  </si>
  <si>
    <t>Year</t>
  </si>
  <si>
    <t>EXTERNAL FUNDING REQUIRED</t>
  </si>
  <si>
    <t xml:space="preserve">   Total non-current assets</t>
  </si>
  <si>
    <t xml:space="preserve">     Total assets</t>
  </si>
  <si>
    <t>Current liabilities:</t>
  </si>
  <si>
    <t>Trade &amp; other payables</t>
  </si>
  <si>
    <t>%age  of curr inc tax</t>
  </si>
  <si>
    <t>Leases due in 1 year</t>
  </si>
  <si>
    <t>Loans, debt due in 1 year</t>
  </si>
  <si>
    <t>Non-current liabilities:</t>
  </si>
  <si>
    <t>Finance leases due after 1 year</t>
  </si>
  <si>
    <t>Loans, debts due after 1 year</t>
  </si>
  <si>
    <t xml:space="preserve">  Total non-current liabilities</t>
  </si>
  <si>
    <t>Stockholder's equity:</t>
  </si>
  <si>
    <t>Paid-in surplus</t>
  </si>
  <si>
    <t>Chapters 1 &amp; 2 so you can refer to them when necessary.</t>
    <phoneticPr fontId="8" type="noConversion"/>
  </si>
  <si>
    <t>outstanding. Rows in red font have the 'incomplete' ratios, because these ratios will change</t>
    <phoneticPr fontId="8" type="noConversion"/>
  </si>
  <si>
    <t>when any category of debt or equity changes, reflecting new financing, which in the case of debt,</t>
    <phoneticPr fontId="8" type="noConversion"/>
  </si>
  <si>
    <t>causes finance cost of change.</t>
    <phoneticPr fontId="8" type="noConversion"/>
  </si>
  <si>
    <t>prev r/e + curr reinv prof</t>
  </si>
  <si>
    <t xml:space="preserve">  Total equity </t>
  </si>
  <si>
    <t xml:space="preserve">  Total equity</t>
  </si>
  <si>
    <t xml:space="preserve">    Total liabilities &amp; equity</t>
  </si>
  <si>
    <t>EXTERNAL FINANCING NEEDED:</t>
  </si>
  <si>
    <t>FINANCIAL RATIOS</t>
  </si>
  <si>
    <t>…………………….historical…………………………..</t>
  </si>
  <si>
    <t>YEAR</t>
  </si>
  <si>
    <t>Liquidity Ratios</t>
  </si>
  <si>
    <t>……………warning-see below……………………..</t>
  </si>
  <si>
    <t>Current ratio</t>
  </si>
  <si>
    <t>Quick ratio</t>
  </si>
  <si>
    <t>COST OF DEBT</t>
  </si>
  <si>
    <t>Retirement benefit obligation</t>
  </si>
  <si>
    <t>Investment property</t>
  </si>
  <si>
    <t>Profit before tax</t>
  </si>
  <si>
    <t>Loans, debt, leases due after 1 year</t>
  </si>
  <si>
    <t>Property, plant &amp; equipment</t>
  </si>
  <si>
    <t>Interest expense</t>
  </si>
  <si>
    <t>Non-current liabilities</t>
  </si>
  <si>
    <t>Non-current assets</t>
  </si>
  <si>
    <t>Operating profit (EBIT)</t>
  </si>
  <si>
    <t xml:space="preserve">  ?what is the debt capacity?</t>
  </si>
  <si>
    <t>Short-term loans, leases</t>
  </si>
  <si>
    <t xml:space="preserve">   Total cost and expenses</t>
  </si>
  <si>
    <t>Tax liabilities</t>
  </si>
  <si>
    <t>Trade receivables</t>
  </si>
  <si>
    <t>Other operating expenses</t>
  </si>
  <si>
    <t xml:space="preserve">   ?what projects to accept?</t>
  </si>
  <si>
    <t>Other accruals</t>
  </si>
  <si>
    <t>Investments</t>
  </si>
  <si>
    <t>Other operating income</t>
  </si>
  <si>
    <t>Trade payables</t>
  </si>
  <si>
    <t xml:space="preserve">Cash </t>
  </si>
  <si>
    <t>Gross profit</t>
  </si>
  <si>
    <t xml:space="preserve">   ?what levels of ca, cl, s-t loans?</t>
  </si>
  <si>
    <t>Current liabilities</t>
  </si>
  <si>
    <t>Current assets</t>
  </si>
  <si>
    <t>Cost of sales</t>
  </si>
  <si>
    <t xml:space="preserve">   spontaneous change with revenue</t>
  </si>
  <si>
    <t>LIABILITIES AND EQUITY</t>
  </si>
  <si>
    <t>Cost of goods sold</t>
  </si>
  <si>
    <t>Net sales</t>
  </si>
  <si>
    <t>Forecast</t>
  </si>
  <si>
    <t>Equations</t>
  </si>
  <si>
    <t>Owner's equity (net worth)</t>
  </si>
  <si>
    <t>Current liabilities/ net sales</t>
  </si>
  <si>
    <t>Current assets/net sales</t>
  </si>
  <si>
    <t>balance sheet forecast are properly forecasted. This may not occur until the second iteration of the</t>
  </si>
  <si>
    <t>forecast, when a determination has been made about whether EFN will come from debt or equity sources,</t>
    <phoneticPr fontId="8" type="noConversion"/>
  </si>
  <si>
    <t xml:space="preserve">Explain how the p 45 table from the Cohen Finance Workbook, shown above starting on row 47, works and its </t>
    <phoneticPr fontId="8" type="noConversion"/>
  </si>
  <si>
    <t>FROM P 45 IN COHEN FINANCE WORKBOOK:</t>
    <phoneticPr fontId="8" type="noConversion"/>
  </si>
  <si>
    <t>The 4th &amp; 5th tabs in this Excel file are the Wk 1 Q1 &amp; Q2 Solutions so you don't have to switch back-and-forth between two Excel files.</t>
    <phoneticPr fontId="8" type="noConversion"/>
  </si>
  <si>
    <t>beginning on page 33. Also, pay special attention to the discussion of:</t>
    <phoneticPr fontId="8" type="noConversion"/>
  </si>
  <si>
    <t>circular reference beginning on page 41</t>
    <phoneticPr fontId="8" type="noConversion"/>
  </si>
  <si>
    <t>external financing needed beginning on page 42</t>
    <phoneticPr fontId="8" type="noConversion"/>
  </si>
  <si>
    <t>free cash flow definition on page 45</t>
    <phoneticPr fontId="8" type="noConversion"/>
  </si>
  <si>
    <t>Case</t>
    <phoneticPr fontId="8" type="noConversion"/>
  </si>
  <si>
    <t>Study the table on p 45 of the Cohen finance book and explanations on the pages following.</t>
    <phoneticPr fontId="8" type="noConversion"/>
  </si>
  <si>
    <t>The Q2 tab includes a working (with the formulas) version of the p 45 table and the short-form forecasting</t>
    <phoneticPr fontId="8" type="noConversion"/>
  </si>
  <si>
    <t xml:space="preserve">   Total operating costs</t>
  </si>
  <si>
    <t>Profit from operations (EBIT)</t>
  </si>
  <si>
    <t xml:space="preserve">  </t>
  </si>
  <si>
    <t>Interest, financing expense</t>
  </si>
  <si>
    <t>Income from investments</t>
  </si>
  <si>
    <t>Disposal of operations</t>
  </si>
  <si>
    <t>average tax rate</t>
  </si>
  <si>
    <t>Profit after tax</t>
  </si>
  <si>
    <t>Minority interest</t>
  </si>
  <si>
    <t xml:space="preserve">Other </t>
  </si>
  <si>
    <t>Net profit</t>
  </si>
  <si>
    <t>payout ratio</t>
  </si>
  <si>
    <t>Other</t>
  </si>
  <si>
    <t>PER SHARE DATA</t>
  </si>
  <si>
    <t>Market price</t>
  </si>
  <si>
    <t>Extraordinary items per share</t>
  </si>
  <si>
    <t>Earnings per share - primary</t>
  </si>
  <si>
    <t>Earnings per share - fully diluted</t>
  </si>
  <si>
    <t>Dividends per share</t>
  </si>
  <si>
    <t>Price/earnings ratio</t>
  </si>
  <si>
    <t>Common shares outstanding</t>
  </si>
  <si>
    <t>…………………..historical……………………………..</t>
  </si>
  <si>
    <t>AS OF DECEMBER 31</t>
  </si>
  <si>
    <t>Current assets:</t>
  </si>
  <si>
    <t>Cash &amp; equivalents</t>
  </si>
  <si>
    <t>% of revenue</t>
  </si>
  <si>
    <t>NWC Calculation</t>
  </si>
  <si>
    <t>days revenues</t>
  </si>
  <si>
    <t>Inventory</t>
  </si>
  <si>
    <t>days cost of sales</t>
  </si>
  <si>
    <t xml:space="preserve">   Total current assets</t>
  </si>
  <si>
    <t>Non-current assets:</t>
  </si>
  <si>
    <t>Property, plant &amp; equipment-gross</t>
  </si>
  <si>
    <t>estimated capex</t>
  </si>
  <si>
    <t>Accumulated deprec. &amp; amort.</t>
  </si>
  <si>
    <t>by formula</t>
  </si>
  <si>
    <t>Property, plant &amp; equipment-net</t>
  </si>
  <si>
    <t>Other 1</t>
  </si>
  <si>
    <t>Other 2</t>
  </si>
  <si>
    <t xml:space="preserve">Parsing the numerator and denominator, for Cartwright earnings after tax is 42.2, lower than Apex 64.7, BUT, Cartwright equity is much lower at </t>
  </si>
  <si>
    <t>348 than Apex at 833. The numerator and denominator reveal the essence of financial leverage, Cartwright has higher</t>
  </si>
  <si>
    <t xml:space="preserve">The Cohen Finance Workbook replaces weekly PDFs; the chapters are the PDFs.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</si>
  <si>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</si>
  <si>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</si>
  <si>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</si>
  <si>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</si>
  <si>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</si>
  <si>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</si>
  <si>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</si>
  <si>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</si>
  <si>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</si>
  <si>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</si>
  <si>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</si>
  <si>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</si>
  <si>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</si>
  <si>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</si>
  <si>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</si>
  <si>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</si>
  <si>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</si>
  <si>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</si>
  <si>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</si>
  <si>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</si>
  <si>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</si>
  <si>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</si>
  <si>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</si>
  <si>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</si>
  <si>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</si>
  <si>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</si>
  <si>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</si>
  <si>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</si>
  <si>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</si>
  <si>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</si>
  <si>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</si>
  <si>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</si>
  <si>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</si>
  <si>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</si>
  <si>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 xml:space="preserve"> </t>
    <phoneticPr fontId="8" type="noConversion"/>
  </si>
  <si>
    <t>Days sales in receivables</t>
  </si>
  <si>
    <t xml:space="preserve"> </t>
    <phoneticPr fontId="8" type="noConversion"/>
  </si>
  <si>
    <t>Day's sales in receivables</t>
  </si>
  <si>
    <t>Days cost of sales in inventory</t>
  </si>
  <si>
    <t>Day's cost of sales in inventory</t>
  </si>
  <si>
    <t>Days cost of sales in payables</t>
  </si>
  <si>
    <t>Day's cost of sales in payables</t>
  </si>
  <si>
    <t>Leverage Ratios</t>
  </si>
  <si>
    <t>Long-term debt to total capital</t>
  </si>
  <si>
    <t>Long-term debt to equity</t>
  </si>
  <si>
    <t>Times interest earned</t>
  </si>
  <si>
    <t xml:space="preserve"> </t>
    <phoneticPr fontId="8" type="noConversion"/>
  </si>
  <si>
    <t>Full burden coverage</t>
  </si>
  <si>
    <t>Asset-Use (Efficiency) Ratios</t>
  </si>
  <si>
    <t>Asset-Use Ratios</t>
  </si>
  <si>
    <t>Fixed asset turnover</t>
  </si>
  <si>
    <t>Total asset turnover</t>
  </si>
  <si>
    <t>Profitability Ratios</t>
  </si>
  <si>
    <t>Gross margin</t>
  </si>
  <si>
    <t>Operating profit margin</t>
  </si>
  <si>
    <t>Return on sales</t>
  </si>
  <si>
    <t>Return on total assets</t>
  </si>
  <si>
    <t>Return on equity (ROE)</t>
  </si>
  <si>
    <t>Return on invested capital (ROIC)</t>
  </si>
  <si>
    <t>DuPont Formula - ROE</t>
  </si>
  <si>
    <t xml:space="preserve">  Profitability</t>
  </si>
  <si>
    <t xml:space="preserve">  Efficiency</t>
  </si>
  <si>
    <t xml:space="preserve">  Leverage</t>
  </si>
  <si>
    <t>ROE Check</t>
  </si>
  <si>
    <t>Compound Annual Growth Rates</t>
  </si>
  <si>
    <t>Revenues</t>
  </si>
  <si>
    <t>NA</t>
  </si>
  <si>
    <t>WARNING: Forecasted ratios may not make sense unless all line items in the income statement and</t>
  </si>
  <si>
    <t xml:space="preserve">When EBIT is predictably stable and high enough to cover interest expense, default risk may be lower, justifying higher leverage. </t>
  </si>
  <si>
    <t>No implication that one is better or worse than another.</t>
  </si>
  <si>
    <t>Parsing the numerator and denominator, numerators are the same as in the ROE metric above, denominators are identical,</t>
  </si>
  <si>
    <t xml:space="preserve">Debt </t>
  </si>
  <si>
    <t xml:space="preserve">  TOTAL LIAB+EQUITY</t>
  </si>
  <si>
    <t xml:space="preserve">EBIT </t>
  </si>
  <si>
    <t xml:space="preserve"> - Interest expense</t>
  </si>
  <si>
    <t>Ratio</t>
  </si>
  <si>
    <t>Fraction</t>
  </si>
  <si>
    <t>Numerator</t>
  </si>
  <si>
    <t>Denominator</t>
  </si>
  <si>
    <t>ROE</t>
  </si>
  <si>
    <t>RETURN ON EQUITY</t>
  </si>
  <si>
    <t xml:space="preserve">Equity </t>
  </si>
  <si>
    <t>ROA</t>
  </si>
  <si>
    <t>RETURN ON ASSETS</t>
  </si>
  <si>
    <t>Total Liab+Eq</t>
  </si>
  <si>
    <t>ROIC</t>
  </si>
  <si>
    <t>RETURN ON INVESTED CAPITAL</t>
  </si>
  <si>
    <t>EBIT * (1-Tax rate)</t>
  </si>
  <si>
    <t>Wk2 continues with a forecast of Cartwright's financial statements and external financing needs.</t>
    <phoneticPr fontId="8" type="noConversion"/>
  </si>
  <si>
    <t>The benefit of the ROIC measure of return is that the impact of leverage is removed, both are 7.7%</t>
  </si>
  <si>
    <t xml:space="preserve">because they have the same EBIT and total liabilities plus equity. </t>
  </si>
  <si>
    <t>If one has higher business risk (higher fixed cost ratio, riskier industry, more volatility in sales year-to-year…comparison weakens.</t>
  </si>
  <si>
    <t>If ratios reflect long-run situation, interpretation strengthens. If ratios reflect transitory events, interpretation weakens.</t>
  </si>
  <si>
    <t>Overall, different ratios measure different things. Look carefully at numerator and denominator before you interpret the meaning of the metric and</t>
  </si>
  <si>
    <t>beware of generalizations.</t>
  </si>
  <si>
    <t>Scoring Rubric</t>
  </si>
  <si>
    <t>9 points for knowing that leverage drives ROE, minus 2 for lack of specificity</t>
  </si>
  <si>
    <t>9 points - same as b, minus 2 as above.</t>
  </si>
  <si>
    <t>9 points for knowing that ROIC removes impact of leverage, minus 2 as above.</t>
  </si>
  <si>
    <t>TOTAL</t>
  </si>
  <si>
    <t>Read the Cartwright Lumber Company case study.</t>
    <phoneticPr fontId="8" type="noConversion"/>
  </si>
  <si>
    <t>Higher leverage (debt to equity) means higher ROE. No indication of better or worse is implied. Depends on other info.</t>
  </si>
  <si>
    <t>Think of DuPont equation - profitability X efficiency X leverage = ROE …..higher leverage, higher ROE  - direct relationship</t>
  </si>
  <si>
    <t>always be aware of numerator and denominator</t>
  </si>
  <si>
    <t>and how they change…extent of change in numerator</t>
  </si>
  <si>
    <t>and extent of change in denominator…think analytically</t>
  </si>
  <si>
    <t>then Paste Special, VALUES.</t>
  </si>
  <si>
    <t>Liquidity is in decline for all ratios above. Quick ratio decline exceeds current ratio decline because days in rec increased more</t>
  </si>
  <si>
    <t>than increase in inventory. Customers are taking longer to pay. Is it Cartwright's choice or customers'?</t>
  </si>
  <si>
    <t>Day payables increased the most - indicating trouble in paying suppliers on time.</t>
  </si>
  <si>
    <t>minus 2 if trend not discussed</t>
  </si>
  <si>
    <t>calculate %age change in Col H as</t>
  </si>
  <si>
    <t>(ending amount-beginning amount)/beginning amount-</t>
  </si>
  <si>
    <t>Discern what the case is about, the issues, and the decision to be made.</t>
    <phoneticPr fontId="8" type="noConversion"/>
  </si>
  <si>
    <t>Next, peruse the case exhibits and preliminarily digest what they tell you.</t>
    <phoneticPr fontId="8" type="noConversion"/>
  </si>
  <si>
    <t>Then, read the assignment questions so you know what you have to do for the assignment.</t>
    <phoneticPr fontId="8" type="noConversion"/>
  </si>
  <si>
    <t>Cohen Finance Workbook chapter 2 goes with this assignment. It explains ratio analysis in detail.</t>
    <phoneticPr fontId="8" type="noConversion"/>
  </si>
  <si>
    <t xml:space="preserve">Growth rapid, but requires increasing financing of working capital (receivables and inventory). </t>
  </si>
  <si>
    <t>financing - bottom of IS</t>
  </si>
  <si>
    <t>Increased interest expense on financing drags down profits (difference between EBIT and net profit) and weakens</t>
  </si>
  <si>
    <t>weak balance sheet</t>
  </si>
  <si>
    <t xml:space="preserve">ratios. ROE growth misleading, driven by financial leverage more than operating performance. </t>
  </si>
  <si>
    <t>connect hi growth to hi debt</t>
  </si>
  <si>
    <t>8 points for citing general increase</t>
    <phoneticPr fontId="8" type="noConversion"/>
  </si>
  <si>
    <t>Fixed asset turnover is healthy, indicating that fixed assets (growing little) drive increased sales.</t>
  </si>
  <si>
    <t>Total asset turnover changes little, because receivables and inventory are increasing as sales increases.</t>
  </si>
  <si>
    <t>1d: Using the ratios below, appraise the trend (2001-03) of Cartwright's profitability. Cite specific ratios to justify your analysis.</t>
    <phoneticPr fontId="8" type="noConversion"/>
  </si>
  <si>
    <t>Gross margin (GM)</t>
  </si>
  <si>
    <t>point</t>
  </si>
  <si>
    <t>Operating profit margin (OPM)</t>
  </si>
  <si>
    <t>Return on sales (ROS)</t>
  </si>
  <si>
    <t>Return on total assets (ROTA)</t>
  </si>
  <si>
    <t>Small 1.3% gross margin decrease indicates small increase in cost of sales. Good 8.3% increase in operating profit margin</t>
  </si>
  <si>
    <t>points</t>
  </si>
  <si>
    <t>distinction between IS and BS ratios</t>
  </si>
  <si>
    <t>indicates costs are well controlled and decreasing in face of rising sales - excellent performance. Big 10.6% drop on</t>
  </si>
  <si>
    <t>ROIC removes impact of leverage</t>
  </si>
  <si>
    <t>sales driven by interest expense (financial), not operations which are sound; same for return on assets decline.</t>
  </si>
  <si>
    <t>Total</t>
  </si>
  <si>
    <t>Cartwright's business risk driven by changes in sales and changes in operating expenses, which drive changes in EBIT.</t>
  </si>
  <si>
    <t>BUSINESS RISK is coded GREEN on IS/BS Model,</t>
  </si>
  <si>
    <t>On the operating expense side, business risk is low because of cost control and efficient operations - controllable by</t>
  </si>
  <si>
    <t>linking IS and BS. It is analogous to OPERATING LEVERAGE;</t>
  </si>
  <si>
    <t>Mr. Cartwright.</t>
  </si>
  <si>
    <t>variation in EBIT driven by variations in sales and operating expenses.</t>
  </si>
  <si>
    <t>On the sales side, he has less control, subject to economic forces and competition. His customer and supplier relationships</t>
  </si>
  <si>
    <t>Always consider degree of fixed cost in interpreting business risk - higher</t>
  </si>
  <si>
    <t>ROE increase driven by leverage increase-a negative. Solid ROIC increase driven by solid operating performance.</t>
  </si>
  <si>
    <t>1e: Interpret the DuPont Formula ratios by explaining if its four ratios are a valid substitute for the ratios in Q1a-1d above. Cite specifics.</t>
    <phoneticPr fontId="8" type="noConversion"/>
  </si>
  <si>
    <t>Profitability and efficiency ratios are the same; profitability is ROS and does not reveal GM or OPM.</t>
  </si>
  <si>
    <t>no liquidity ratio</t>
  </si>
  <si>
    <t>Leverage uses unique numerator &amp; denominator, no coverage ratio included, nothing on liquidity ratios, days in rec,invn,pay.</t>
  </si>
  <si>
    <t>no coverage ratio</t>
  </si>
  <si>
    <t>Substantial ROE growth driven by large, significant  21.9% increase in leverage (financial risk) and small insignificant</t>
  </si>
  <si>
    <t>otherwise comprehensive</t>
  </si>
  <si>
    <t>1.1% increase in efficiency and significant 10.6% decrease in profitability.</t>
  </si>
  <si>
    <t>Total 12 points</t>
    <phoneticPr fontId="8" type="noConversion"/>
  </si>
  <si>
    <t/>
  </si>
  <si>
    <t>Note that decrease in profitability is caused by increased interest expense, not operations…because operating profit</t>
  </si>
  <si>
    <t>margin increased 8.3%.</t>
  </si>
  <si>
    <t>Operations excellent, good customer relationships, good supplier relationships in spite of slow payment period.</t>
  </si>
  <si>
    <t>operations - top of IS</t>
  </si>
  <si>
    <t>are good. He uses generous credit terms to build sales - but his customers (small builders) likely have cash flow problems</t>
  </si>
  <si>
    <t>percentage of fixed cost to total cost, higher business risk.</t>
  </si>
  <si>
    <t>of their own - so quality of receivables is low - bad debt risk.</t>
  </si>
  <si>
    <t>Business risk is moderate, not on cost side, but on possibility of sales decline and collection of receivables.</t>
  </si>
  <si>
    <t>it is increasing - and highly risky.</t>
  </si>
  <si>
    <t>FINANCIAL RISK is coded RED on IS/BS Model,</t>
  </si>
  <si>
    <t xml:space="preserve">Most of his debt (82.8%) is short term debt, not revealed in the ratio analysis. </t>
  </si>
  <si>
    <t>linking IS and BS. Interest expense is a fixed cost, the driver</t>
  </si>
  <si>
    <t>short term debt</t>
  </si>
  <si>
    <t>debt</t>
  </si>
  <si>
    <t>behind FINANCIAL LEVERAGE.</t>
  </si>
  <si>
    <t>long term debt</t>
  </si>
  <si>
    <t>debt+equity</t>
  </si>
  <si>
    <t>equity</t>
  </si>
  <si>
    <t>ratio</t>
  </si>
  <si>
    <t>st debt to debt</t>
  </si>
  <si>
    <t>If the bank does not roll over the short-term loan, and Cartwright can't find another lender, he would be forced</t>
  </si>
  <si>
    <t>to liquidate the business to repay the loan, or face bankruptcy.</t>
  </si>
  <si>
    <t>New equity is off the table because Cartwright recently bought out his equity partner - he does not want a partner.</t>
  </si>
  <si>
    <t>Use of temporary financing (short term) puts Cartwright under control of bank - no loan - no business. Temporary</t>
  </si>
  <si>
    <t>financing of permanent needs is a dangerous plight for him to be in.</t>
  </si>
  <si>
    <t>Summary judgment: solid operating performance, underfinanced due to rapid growth increasing receivables and</t>
  </si>
  <si>
    <t>inventory, requiring increased borrowing from bank and suppliers…the segue to Wk 2 forecast.</t>
  </si>
  <si>
    <t>CARTWRIGHT LUMBER COMPANY (000 omitted)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</si>
</sst>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$&quot;#,##0_);\(&quot;$&quot;#,##0\)"/>
    <numFmt numFmtId="165" formatCode="&quot;$&quot;#,##0.00_);\(&quot;$&quot;#,##0.00\)"/>
    <numFmt numFmtId="168" formatCode="_(&quot;$&quot;* #,##0.00_);_(&quot;$&quot;* \(#,##0.00\);_(&quot;$&quot;* &quot;-&quot;??_);_(@_)"/>
    <numFmt numFmtId="170" formatCode="0.0%"/>
    <numFmt numFmtId="171" formatCode="0.0"/>
    <numFmt numFmtId="172" formatCode="_(&quot;$&quot;* #,##0_);_(&quot;$&quot;* \(#,##0\);_(&quot;$&quot;* &quot;-&quot;??_);_(@_)"/>
    <numFmt numFmtId="173" formatCode="0.0_);\(0.0\)"/>
    <numFmt numFmtId="174" formatCode="[$€-2]\ #,##0.00_);\([$€-2]\ #,##0.00\)"/>
    <numFmt numFmtId="175" formatCode="[$€-2]\ #,##0.00"/>
  </numFmts>
  <fonts count="66" x14ac:knownFonts="1">
    <font>
      <sz val="11"/>
      <color indexed="8"/>
      <name val="Calibri"/>
      <family val="2"/>
    </font>
    <font>
      <b/>
      <sz val="12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8"/>
      <name val="Arial"/>
    </font>
    <font>
      <u/>
      <sz val="8"/>
      <name val="Arial"/>
      <family val="2"/>
    </font>
    <font>
      <b/>
      <u/>
      <sz val="8"/>
      <name val="Arial"/>
      <family val="2"/>
    </font>
    <font>
      <sz val="8"/>
      <color indexed="10"/>
      <name val="Arial"/>
      <family val="2"/>
    </font>
    <font>
      <sz val="8"/>
      <color indexed="2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</font>
    <font>
      <b/>
      <sz val="10"/>
      <color indexed="12"/>
      <name val="Arial"/>
      <family val="2"/>
    </font>
    <font>
      <sz val="16"/>
      <name val="Arial"/>
    </font>
    <font>
      <b/>
      <i/>
      <sz val="16"/>
      <name val="Arial"/>
    </font>
    <font>
      <i/>
      <sz val="16"/>
      <name val="Arial"/>
    </font>
    <font>
      <sz val="16"/>
      <color indexed="8"/>
      <name val="Arial"/>
    </font>
    <font>
      <b/>
      <i/>
      <sz val="16"/>
      <color indexed="8"/>
      <name val="Arial"/>
    </font>
    <font>
      <b/>
      <sz val="12"/>
      <color indexed="8"/>
      <name val="Arial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color indexed="48"/>
      <name val="Arial"/>
    </font>
    <font>
      <sz val="10"/>
      <color indexed="10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12"/>
      <name val="Arial"/>
    </font>
    <font>
      <u/>
      <sz val="12"/>
      <name val="Arial"/>
      <family val="2"/>
    </font>
    <font>
      <b/>
      <sz val="14"/>
      <name val="Arial"/>
    </font>
    <font>
      <b/>
      <sz val="18"/>
      <name val="Arial"/>
    </font>
    <font>
      <u/>
      <sz val="12"/>
      <color indexed="61"/>
      <name val="Arial"/>
    </font>
    <font>
      <u/>
      <sz val="10"/>
      <color indexed="36"/>
      <name val="Arial"/>
    </font>
    <font>
      <u/>
      <sz val="12"/>
      <color indexed="12"/>
      <name val="Arial"/>
    </font>
    <font>
      <sz val="9"/>
      <color indexed="8"/>
      <name val="Arial"/>
      <family val="2"/>
    </font>
    <font>
      <sz val="11"/>
      <color indexed="8"/>
      <name val="Arial"/>
    </font>
    <font>
      <b/>
      <sz val="11"/>
      <color indexed="8"/>
      <name val="Arial"/>
    </font>
    <font>
      <u/>
      <sz val="11"/>
      <color indexed="8"/>
      <name val="Calibri"/>
    </font>
    <font>
      <sz val="16"/>
      <color indexed="48"/>
      <name val="Arial"/>
    </font>
    <font>
      <b/>
      <sz val="11"/>
      <color indexed="10"/>
      <name val="Calibri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10"/>
      <color indexed="48"/>
      <name val="Arial"/>
    </font>
    <font>
      <b/>
      <sz val="10"/>
      <color indexed="53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lightGrid">
        <bgColor indexed="10"/>
      </patternFill>
    </fill>
    <fill>
      <patternFill patternType="lightGrid">
        <bgColor indexed="22"/>
      </patternFill>
    </fill>
    <fill>
      <patternFill patternType="lightGrid">
        <bgColor indexed="11"/>
      </patternFill>
    </fill>
    <fill>
      <patternFill patternType="lightGrid">
        <bgColor indexed="44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5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6" fillId="21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44" applyNumberFormat="0" applyAlignment="0" applyProtection="0"/>
    <xf numFmtId="0" fontId="19" fillId="22" borderId="45" applyNumberFormat="0" applyAlignment="0" applyProtection="0"/>
    <xf numFmtId="168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0" fontId="22" fillId="0" borderId="46" applyNumberFormat="0" applyFill="0" applyAlignment="0" applyProtection="0"/>
    <xf numFmtId="0" fontId="23" fillId="0" borderId="47" applyNumberFormat="0" applyFill="0" applyAlignment="0" applyProtection="0"/>
    <xf numFmtId="0" fontId="24" fillId="0" borderId="48" applyNumberFormat="0" applyFill="0" applyAlignment="0" applyProtection="0"/>
    <xf numFmtId="0" fontId="24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25" fillId="15" borderId="44" applyNumberFormat="0" applyAlignment="0" applyProtection="0"/>
    <xf numFmtId="0" fontId="26" fillId="0" borderId="49" applyNumberFormat="0" applyFill="0" applyAlignment="0" applyProtection="0"/>
    <xf numFmtId="0" fontId="27" fillId="19" borderId="0" applyNumberFormat="0" applyBorder="0" applyAlignment="0" applyProtection="0"/>
    <xf numFmtId="0" fontId="4" fillId="0" borderId="0"/>
    <xf numFmtId="0" fontId="4" fillId="0" borderId="0"/>
    <xf numFmtId="0" fontId="49" fillId="0" borderId="0"/>
    <xf numFmtId="0" fontId="43" fillId="0" borderId="0"/>
    <xf numFmtId="0" fontId="49" fillId="0" borderId="0"/>
    <xf numFmtId="0" fontId="5" fillId="16" borderId="50" applyNumberFormat="0" applyFont="0" applyAlignment="0" applyProtection="0"/>
    <xf numFmtId="0" fontId="28" fillId="28" borderId="51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52" applyNumberFormat="0" applyFill="0" applyAlignment="0" applyProtection="0"/>
    <xf numFmtId="0" fontId="31" fillId="0" borderId="0" applyNumberFormat="0" applyFill="0" applyBorder="0" applyAlignment="0" applyProtection="0"/>
  </cellStyleXfs>
  <cellXfs count="436">
    <xf numFmtId="0" fontId="0" fillId="0" borderId="0" xfId="0"/>
    <xf numFmtId="0" fontId="6" fillId="0" borderId="0" xfId="0" applyFont="1"/>
    <xf numFmtId="0" fontId="7" fillId="0" borderId="0" xfId="0" applyFont="1"/>
    <xf numFmtId="0" fontId="4" fillId="0" borderId="0" xfId="41"/>
    <xf numFmtId="0" fontId="4" fillId="2" borderId="0" xfId="41" applyFill="1" applyBorder="1"/>
    <xf numFmtId="0" fontId="8" fillId="2" borderId="0" xfId="41" applyFont="1" applyFill="1" applyBorder="1"/>
    <xf numFmtId="0" fontId="8" fillId="2" borderId="0" xfId="41" applyFont="1" applyFill="1"/>
    <xf numFmtId="0" fontId="8" fillId="12" borderId="11" xfId="41" applyFont="1" applyFill="1" applyBorder="1"/>
    <xf numFmtId="0" fontId="8" fillId="12" borderId="9" xfId="41" applyFont="1" applyFill="1" applyBorder="1"/>
    <xf numFmtId="0" fontId="8" fillId="12" borderId="6" xfId="41" applyFont="1" applyFill="1" applyBorder="1"/>
    <xf numFmtId="0" fontId="8" fillId="12" borderId="8" xfId="41" applyFont="1" applyFill="1" applyBorder="1"/>
    <xf numFmtId="0" fontId="8" fillId="8" borderId="14" xfId="41" applyFont="1" applyFill="1" applyBorder="1"/>
    <xf numFmtId="0" fontId="8" fillId="8" borderId="13" xfId="41" applyFont="1" applyFill="1" applyBorder="1"/>
    <xf numFmtId="0" fontId="8" fillId="8" borderId="0" xfId="41" applyFont="1" applyFill="1"/>
    <xf numFmtId="0" fontId="4" fillId="2" borderId="0" xfId="41" applyFill="1"/>
    <xf numFmtId="0" fontId="8" fillId="8" borderId="3" xfId="41" applyFont="1" applyFill="1" applyBorder="1"/>
    <xf numFmtId="0" fontId="8" fillId="8" borderId="2" xfId="41" applyFont="1" applyFill="1" applyBorder="1"/>
    <xf numFmtId="0" fontId="8" fillId="11" borderId="11" xfId="41" applyFont="1" applyFill="1" applyBorder="1"/>
    <xf numFmtId="0" fontId="8" fillId="11" borderId="9" xfId="41" applyFont="1" applyFill="1" applyBorder="1"/>
    <xf numFmtId="0" fontId="8" fillId="11" borderId="6" xfId="41" applyFont="1" applyFill="1" applyBorder="1"/>
    <xf numFmtId="0" fontId="8" fillId="11" borderId="8" xfId="41" applyFont="1" applyFill="1" applyBorder="1"/>
    <xf numFmtId="0" fontId="8" fillId="6" borderId="3" xfId="41" applyFont="1" applyFill="1" applyBorder="1"/>
    <xf numFmtId="0" fontId="8" fillId="6" borderId="2" xfId="41" applyFont="1" applyFill="1" applyBorder="1"/>
    <xf numFmtId="0" fontId="8" fillId="6" borderId="0" xfId="41" applyFont="1" applyFill="1"/>
    <xf numFmtId="0" fontId="8" fillId="7" borderId="22" xfId="41" applyFont="1" applyFill="1" applyBorder="1"/>
    <xf numFmtId="0" fontId="8" fillId="7" borderId="21" xfId="41" applyFont="1" applyFill="1" applyBorder="1"/>
    <xf numFmtId="0" fontId="8" fillId="7" borderId="20" xfId="41" applyFont="1" applyFill="1" applyBorder="1"/>
    <xf numFmtId="0" fontId="8" fillId="7" borderId="0" xfId="41" applyFont="1" applyFill="1" applyBorder="1"/>
    <xf numFmtId="0" fontId="8" fillId="7" borderId="19" xfId="41" applyFont="1" applyFill="1" applyBorder="1"/>
    <xf numFmtId="0" fontId="8" fillId="7" borderId="18" xfId="41" applyFont="1" applyFill="1" applyBorder="1"/>
    <xf numFmtId="0" fontId="9" fillId="7" borderId="17" xfId="41" applyFont="1" applyFill="1" applyBorder="1" applyAlignment="1">
      <alignment horizontal="center"/>
    </xf>
    <xf numFmtId="0" fontId="9" fillId="7" borderId="16" xfId="41" applyFont="1" applyFill="1" applyBorder="1" applyAlignment="1">
      <alignment horizontal="center"/>
    </xf>
    <xf numFmtId="0" fontId="9" fillId="7" borderId="15" xfId="41" applyFont="1" applyFill="1" applyBorder="1" applyAlignment="1">
      <alignment horizontal="center"/>
    </xf>
    <xf numFmtId="0" fontId="8" fillId="10" borderId="10" xfId="41" applyFont="1" applyFill="1" applyBorder="1"/>
    <xf numFmtId="0" fontId="8" fillId="0" borderId="0" xfId="41" applyFont="1"/>
    <xf numFmtId="0" fontId="8" fillId="10" borderId="4" xfId="41" applyFont="1" applyFill="1" applyBorder="1"/>
    <xf numFmtId="0" fontId="8" fillId="7" borderId="11" xfId="41" applyFont="1" applyFill="1" applyBorder="1"/>
    <xf numFmtId="0" fontId="8" fillId="7" borderId="9" xfId="41" applyFont="1" applyFill="1" applyBorder="1"/>
    <xf numFmtId="0" fontId="10" fillId="2" borderId="0" xfId="41" applyFont="1" applyFill="1" applyBorder="1"/>
    <xf numFmtId="0" fontId="8" fillId="7" borderId="6" xfId="41" applyFont="1" applyFill="1" applyBorder="1"/>
    <xf numFmtId="0" fontId="8" fillId="7" borderId="8" xfId="41" applyFont="1" applyFill="1" applyBorder="1"/>
    <xf numFmtId="0" fontId="8" fillId="7" borderId="12" xfId="41" applyFont="1" applyFill="1" applyBorder="1"/>
    <xf numFmtId="0" fontId="8" fillId="7" borderId="3" xfId="41" applyFont="1" applyFill="1" applyBorder="1"/>
    <xf numFmtId="0" fontId="8" fillId="7" borderId="2" xfId="41" applyFont="1" applyFill="1" applyBorder="1"/>
    <xf numFmtId="0" fontId="8" fillId="10" borderId="7" xfId="41" applyFont="1" applyFill="1" applyBorder="1"/>
    <xf numFmtId="0" fontId="8" fillId="8" borderId="12" xfId="41" applyFont="1" applyFill="1" applyBorder="1"/>
    <xf numFmtId="0" fontId="11" fillId="2" borderId="0" xfId="41" applyFont="1" applyFill="1"/>
    <xf numFmtId="0" fontId="8" fillId="3" borderId="3" xfId="41" applyFont="1" applyFill="1" applyBorder="1"/>
    <xf numFmtId="0" fontId="8" fillId="3" borderId="2" xfId="41" applyFont="1" applyFill="1" applyBorder="1"/>
    <xf numFmtId="0" fontId="8" fillId="3" borderId="0" xfId="41" applyFont="1" applyFill="1"/>
    <xf numFmtId="0" fontId="8" fillId="3" borderId="12" xfId="41" applyFont="1" applyFill="1" applyBorder="1"/>
    <xf numFmtId="0" fontId="8" fillId="6" borderId="12" xfId="41" applyFont="1" applyFill="1" applyBorder="1"/>
    <xf numFmtId="0" fontId="8" fillId="9" borderId="11" xfId="41" applyFont="1" applyFill="1" applyBorder="1"/>
    <xf numFmtId="0" fontId="8" fillId="9" borderId="9" xfId="41" applyFont="1" applyFill="1" applyBorder="1"/>
    <xf numFmtId="0" fontId="12" fillId="2" borderId="0" xfId="41" applyFont="1" applyFill="1"/>
    <xf numFmtId="0" fontId="8" fillId="9" borderId="6" xfId="41" applyFont="1" applyFill="1" applyBorder="1"/>
    <xf numFmtId="0" fontId="8" fillId="9" borderId="8" xfId="41" applyFont="1" applyFill="1" applyBorder="1"/>
    <xf numFmtId="0" fontId="8" fillId="7" borderId="14" xfId="41" applyFont="1" applyFill="1" applyBorder="1"/>
    <xf numFmtId="0" fontId="8" fillId="7" borderId="13" xfId="41" applyFont="1" applyFill="1" applyBorder="1"/>
    <xf numFmtId="0" fontId="8" fillId="7" borderId="0" xfId="41" applyFont="1" applyFill="1"/>
    <xf numFmtId="0" fontId="13" fillId="2" borderId="0" xfId="41" applyFont="1" applyFill="1" applyBorder="1"/>
    <xf numFmtId="0" fontId="13" fillId="2" borderId="12" xfId="41" applyFont="1" applyFill="1" applyBorder="1"/>
    <xf numFmtId="0" fontId="4" fillId="0" borderId="0" xfId="0" applyFont="1"/>
    <xf numFmtId="164" fontId="14" fillId="0" borderId="0" xfId="48" quotePrefix="1" applyNumberFormat="1" applyFont="1"/>
    <xf numFmtId="0" fontId="37" fillId="0" borderId="0" xfId="0" quotePrefix="1" applyFont="1"/>
    <xf numFmtId="0" fontId="14" fillId="0" borderId="0" xfId="0" applyFont="1"/>
    <xf numFmtId="0" fontId="37" fillId="0" borderId="0" xfId="0" applyFont="1"/>
    <xf numFmtId="3" fontId="37" fillId="0" borderId="0" xfId="0" quotePrefix="1" applyNumberFormat="1" applyFont="1"/>
    <xf numFmtId="3" fontId="37" fillId="0" borderId="30" xfId="0" quotePrefix="1" applyNumberFormat="1" applyFont="1" applyBorder="1"/>
    <xf numFmtId="0" fontId="37" fillId="0" borderId="30" xfId="0" quotePrefix="1" applyFont="1" applyBorder="1"/>
    <xf numFmtId="3" fontId="37" fillId="0" borderId="0" xfId="0" applyNumberFormat="1" applyFont="1"/>
    <xf numFmtId="0" fontId="14" fillId="0" borderId="30" xfId="0" applyFont="1" applyBorder="1"/>
    <xf numFmtId="3" fontId="37" fillId="0" borderId="30" xfId="0" applyNumberFormat="1" applyFont="1" applyBorder="1"/>
    <xf numFmtId="164" fontId="37" fillId="0" borderId="0" xfId="0" quotePrefix="1" applyNumberFormat="1" applyFont="1" applyAlignment="1">
      <alignment horizontal="right"/>
    </xf>
    <xf numFmtId="0" fontId="38" fillId="0" borderId="30" xfId="0" applyFont="1" applyBorder="1" applyAlignment="1">
      <alignment horizontal="center"/>
    </xf>
    <xf numFmtId="0" fontId="38" fillId="0" borderId="30" xfId="0" applyFont="1" applyBorder="1"/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/>
    <xf numFmtId="0" fontId="40" fillId="0" borderId="0" xfId="0" applyFont="1" applyBorder="1"/>
    <xf numFmtId="164" fontId="40" fillId="0" borderId="0" xfId="28" applyNumberFormat="1" applyFont="1" applyBorder="1" applyAlignment="1">
      <alignment horizontal="right"/>
    </xf>
    <xf numFmtId="0" fontId="14" fillId="0" borderId="0" xfId="0" applyFont="1" applyBorder="1"/>
    <xf numFmtId="0" fontId="41" fillId="0" borderId="30" xfId="0" applyFont="1" applyFill="1" applyBorder="1" applyAlignment="1">
      <alignment horizontal="center"/>
    </xf>
    <xf numFmtId="0" fontId="41" fillId="0" borderId="30" xfId="0" applyFont="1" applyBorder="1" applyAlignment="1">
      <alignment horizontal="center"/>
    </xf>
    <xf numFmtId="0" fontId="38" fillId="0" borderId="0" xfId="0" applyFont="1" applyBorder="1"/>
    <xf numFmtId="0" fontId="36" fillId="0" borderId="0" xfId="0" applyFont="1"/>
    <xf numFmtId="0" fontId="32" fillId="0" borderId="0" xfId="0" applyFont="1"/>
    <xf numFmtId="0" fontId="42" fillId="0" borderId="0" xfId="0" applyFont="1"/>
    <xf numFmtId="0" fontId="35" fillId="0" borderId="0" xfId="0" applyFont="1"/>
    <xf numFmtId="0" fontId="35" fillId="0" borderId="28" xfId="0" applyFont="1" applyBorder="1"/>
    <xf numFmtId="0" fontId="43" fillId="0" borderId="0" xfId="0" applyFont="1"/>
    <xf numFmtId="0" fontId="35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5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3" fillId="13" borderId="0" xfId="0" applyFont="1" applyFill="1"/>
    <xf numFmtId="0" fontId="0" fillId="13" borderId="0" xfId="0" applyFill="1"/>
    <xf numFmtId="0" fontId="33" fillId="0" borderId="0" xfId="0" applyFont="1"/>
    <xf numFmtId="0" fontId="35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5" fillId="13" borderId="12" xfId="0" applyFont="1" applyFill="1" applyBorder="1" applyAlignment="1">
      <alignment horizontal="center"/>
    </xf>
    <xf numFmtId="0" fontId="35" fillId="13" borderId="12" xfId="0" applyFont="1" applyFill="1" applyBorder="1" applyAlignment="1" applyProtection="1">
      <alignment horizontal="center"/>
      <protection locked="0"/>
    </xf>
    <xf numFmtId="0" fontId="35" fillId="0" borderId="0" xfId="0" applyFont="1" applyAlignment="1" applyProtection="1">
      <alignment horizontal="right"/>
      <protection locked="0"/>
    </xf>
    <xf numFmtId="0" fontId="35" fillId="0" borderId="30" xfId="0" applyFont="1" applyBorder="1" applyAlignment="1">
      <alignment horizontal="center"/>
    </xf>
    <xf numFmtId="0" fontId="33" fillId="0" borderId="30" xfId="0" applyFont="1" applyBorder="1" applyAlignment="1" applyProtection="1">
      <alignment horizontal="center"/>
      <protection locked="0"/>
    </xf>
    <xf numFmtId="0" fontId="36" fillId="0" borderId="30" xfId="0" applyFont="1" applyBorder="1" applyAlignment="1" applyProtection="1">
      <alignment horizontal="center"/>
      <protection locked="0"/>
    </xf>
    <xf numFmtId="0" fontId="35" fillId="13" borderId="12" xfId="0" applyFont="1" applyFill="1" applyBorder="1"/>
    <xf numFmtId="0" fontId="35" fillId="13" borderId="12" xfId="0" applyFont="1" applyFill="1" applyBorder="1" applyProtection="1">
      <protection locked="0"/>
    </xf>
    <xf numFmtId="173" fontId="34" fillId="0" borderId="0" xfId="0" applyNumberFormat="1" applyFont="1" applyProtection="1">
      <protection locked="0"/>
    </xf>
    <xf numFmtId="171" fontId="43" fillId="13" borderId="12" xfId="0" applyNumberFormat="1" applyFont="1" applyFill="1" applyBorder="1" applyProtection="1">
      <protection locked="0"/>
    </xf>
    <xf numFmtId="170" fontId="34" fillId="13" borderId="12" xfId="48" applyNumberFormat="1" applyFont="1" applyFill="1" applyBorder="1" applyProtection="1">
      <protection locked="0"/>
    </xf>
    <xf numFmtId="173" fontId="43" fillId="0" borderId="0" xfId="0" applyNumberFormat="1" applyFont="1"/>
    <xf numFmtId="0" fontId="43" fillId="0" borderId="30" xfId="0" applyFont="1" applyBorder="1"/>
    <xf numFmtId="173" fontId="34" fillId="0" borderId="30" xfId="0" applyNumberFormat="1" applyFont="1" applyBorder="1" applyProtection="1">
      <protection locked="0"/>
    </xf>
    <xf numFmtId="173" fontId="44" fillId="0" borderId="0" xfId="0" applyNumberFormat="1" applyFont="1"/>
    <xf numFmtId="173" fontId="34" fillId="13" borderId="12" xfId="48" applyNumberFormat="1" applyFont="1" applyFill="1" applyBorder="1" applyProtection="1">
      <protection locked="0"/>
    </xf>
    <xf numFmtId="170" fontId="43" fillId="13" borderId="12" xfId="48" applyNumberFormat="1" applyFont="1" applyFill="1" applyBorder="1" applyProtection="1">
      <protection locked="0"/>
    </xf>
    <xf numFmtId="173" fontId="34" fillId="13" borderId="12" xfId="0" applyNumberFormat="1" applyFont="1" applyFill="1" applyBorder="1" applyProtection="1">
      <protection locked="0"/>
    </xf>
    <xf numFmtId="173" fontId="43" fillId="0" borderId="30" xfId="0" applyNumberFormat="1" applyFont="1" applyBorder="1" applyProtection="1">
      <protection locked="0"/>
    </xf>
    <xf numFmtId="173" fontId="43" fillId="0" borderId="30" xfId="0" applyNumberFormat="1" applyFont="1" applyBorder="1"/>
    <xf numFmtId="0" fontId="43" fillId="13" borderId="12" xfId="0" applyFont="1" applyFill="1" applyBorder="1" applyProtection="1">
      <protection locked="0"/>
    </xf>
    <xf numFmtId="173" fontId="43" fillId="0" borderId="0" xfId="0" applyNumberFormat="1" applyFont="1" applyProtection="1">
      <protection locked="0"/>
    </xf>
    <xf numFmtId="171" fontId="34" fillId="13" borderId="12" xfId="0" applyNumberFormat="1" applyFont="1" applyFill="1" applyBorder="1" applyProtection="1">
      <protection locked="0"/>
    </xf>
    <xf numFmtId="171" fontId="34" fillId="13" borderId="12" xfId="48" applyNumberFormat="1" applyFont="1" applyFill="1" applyBorder="1" applyProtection="1">
      <protection locked="0"/>
    </xf>
    <xf numFmtId="171" fontId="43" fillId="0" borderId="0" xfId="0" applyNumberFormat="1" applyFont="1"/>
    <xf numFmtId="171" fontId="43" fillId="13" borderId="12" xfId="0" applyNumberFormat="1" applyFont="1" applyFill="1" applyBorder="1"/>
    <xf numFmtId="165" fontId="34" fillId="0" borderId="0" xfId="28" applyNumberFormat="1" applyFont="1" applyProtection="1">
      <protection locked="0"/>
    </xf>
    <xf numFmtId="174" fontId="34" fillId="0" borderId="0" xfId="28" applyNumberFormat="1" applyFont="1" applyProtection="1">
      <protection locked="0"/>
    </xf>
    <xf numFmtId="174" fontId="43" fillId="13" borderId="12" xfId="28" applyNumberFormat="1" applyFont="1" applyFill="1" applyBorder="1" applyProtection="1">
      <protection locked="0"/>
    </xf>
    <xf numFmtId="175" fontId="43" fillId="0" borderId="0" xfId="0" applyNumberFormat="1" applyFont="1" applyProtection="1">
      <protection locked="0"/>
    </xf>
    <xf numFmtId="165" fontId="43" fillId="0" borderId="0" xfId="28" applyNumberFormat="1" applyFont="1"/>
    <xf numFmtId="174" fontId="43" fillId="0" borderId="0" xfId="28" applyNumberFormat="1" applyFont="1"/>
    <xf numFmtId="174" fontId="43" fillId="13" borderId="12" xfId="28" applyNumberFormat="1" applyFont="1" applyFill="1" applyBorder="1"/>
    <xf numFmtId="168" fontId="43" fillId="13" borderId="12" xfId="28" applyNumberFormat="1" applyFont="1" applyFill="1" applyBorder="1" applyProtection="1">
      <protection locked="0"/>
    </xf>
    <xf numFmtId="175" fontId="43" fillId="0" borderId="0" xfId="28" applyNumberFormat="1" applyFont="1"/>
    <xf numFmtId="175" fontId="43" fillId="0" borderId="0" xfId="28" applyNumberFormat="1" applyFont="1" applyProtection="1">
      <protection locked="0"/>
    </xf>
    <xf numFmtId="4" fontId="43" fillId="0" borderId="0" xfId="28" applyNumberFormat="1" applyFont="1"/>
    <xf numFmtId="4" fontId="43" fillId="13" borderId="12" xfId="28" applyNumberFormat="1" applyFont="1" applyFill="1" applyBorder="1"/>
    <xf numFmtId="4" fontId="43" fillId="13" borderId="12" xfId="28" applyNumberFormat="1" applyFont="1" applyFill="1" applyBorder="1" applyProtection="1">
      <protection locked="0"/>
    </xf>
    <xf numFmtId="4" fontId="34" fillId="0" borderId="0" xfId="0" applyNumberFormat="1" applyFont="1" applyProtection="1">
      <protection locked="0"/>
    </xf>
    <xf numFmtId="4" fontId="43" fillId="13" borderId="12" xfId="0" applyNumberFormat="1" applyFont="1" applyFill="1" applyBorder="1" applyProtection="1">
      <protection locked="0"/>
    </xf>
    <xf numFmtId="4" fontId="34" fillId="13" borderId="12" xfId="0" applyNumberFormat="1" applyFont="1" applyFill="1" applyBorder="1" applyProtection="1">
      <protection locked="0"/>
    </xf>
    <xf numFmtId="4" fontId="43" fillId="0" borderId="0" xfId="0" applyNumberFormat="1" applyFont="1" applyProtection="1">
      <protection locked="0"/>
    </xf>
    <xf numFmtId="0" fontId="43" fillId="13" borderId="12" xfId="0" applyFont="1" applyFill="1" applyBorder="1"/>
    <xf numFmtId="1" fontId="43" fillId="0" borderId="0" xfId="0" applyNumberFormat="1" applyFont="1"/>
    <xf numFmtId="0" fontId="43" fillId="13" borderId="12" xfId="0" applyFont="1" applyFill="1" applyBorder="1" applyAlignment="1">
      <alignment horizontal="center"/>
    </xf>
    <xf numFmtId="1" fontId="43" fillId="0" borderId="0" xfId="0" applyNumberFormat="1" applyFont="1" applyAlignment="1">
      <alignment horizontal="center"/>
    </xf>
    <xf numFmtId="0" fontId="33" fillId="0" borderId="0" xfId="0" applyFont="1" applyAlignment="1">
      <alignment horizontal="right"/>
    </xf>
    <xf numFmtId="0" fontId="33" fillId="13" borderId="12" xfId="0" applyFont="1" applyFill="1" applyBorder="1" applyAlignment="1">
      <alignment horizontal="center"/>
    </xf>
    <xf numFmtId="0" fontId="33" fillId="13" borderId="12" xfId="0" applyFont="1" applyFill="1" applyBorder="1" applyAlignment="1" applyProtection="1">
      <alignment horizontal="center"/>
      <protection locked="0"/>
    </xf>
    <xf numFmtId="173" fontId="43" fillId="0" borderId="0" xfId="0" applyNumberFormat="1" applyFont="1" applyBorder="1" applyProtection="1">
      <protection locked="0"/>
    </xf>
    <xf numFmtId="171" fontId="43" fillId="13" borderId="12" xfId="0" quotePrefix="1" applyNumberFormat="1" applyFont="1" applyFill="1" applyBorder="1" applyProtection="1">
      <protection locked="0"/>
    </xf>
    <xf numFmtId="170" fontId="34" fillId="13" borderId="12" xfId="0" applyNumberFormat="1" applyFont="1" applyFill="1" applyBorder="1" applyProtection="1">
      <protection locked="0"/>
    </xf>
    <xf numFmtId="0" fontId="34" fillId="13" borderId="12" xfId="0" applyFont="1" applyFill="1" applyBorder="1" applyProtection="1">
      <protection locked="0"/>
    </xf>
    <xf numFmtId="173" fontId="0" fillId="0" borderId="0" xfId="0" applyNumberFormat="1"/>
    <xf numFmtId="1" fontId="34" fillId="13" borderId="12" xfId="48" applyNumberFormat="1" applyFont="1" applyFill="1" applyBorder="1" applyProtection="1">
      <protection locked="0"/>
    </xf>
    <xf numFmtId="0" fontId="43" fillId="13" borderId="12" xfId="0" applyFont="1" applyFill="1" applyBorder="1" applyProtection="1"/>
    <xf numFmtId="0" fontId="43" fillId="0" borderId="32" xfId="0" applyFont="1" applyBorder="1"/>
    <xf numFmtId="173" fontId="43" fillId="0" borderId="32" xfId="0" applyNumberFormat="1" applyFont="1" applyBorder="1"/>
    <xf numFmtId="173" fontId="34" fillId="0" borderId="0" xfId="0" applyNumberFormat="1" applyFont="1" applyBorder="1" applyProtection="1">
      <protection locked="0"/>
    </xf>
    <xf numFmtId="0" fontId="45" fillId="0" borderId="0" xfId="0" applyFont="1"/>
    <xf numFmtId="0" fontId="43" fillId="0" borderId="32" xfId="0" applyFont="1" applyFill="1" applyBorder="1"/>
    <xf numFmtId="173" fontId="34" fillId="0" borderId="32" xfId="0" applyNumberFormat="1" applyFont="1" applyBorder="1"/>
    <xf numFmtId="0" fontId="0" fillId="0" borderId="32" xfId="0" applyBorder="1"/>
    <xf numFmtId="173" fontId="0" fillId="0" borderId="32" xfId="0" applyNumberFormat="1" applyBorder="1"/>
    <xf numFmtId="171" fontId="43" fillId="13" borderId="33" xfId="0" applyNumberFormat="1" applyFont="1" applyFill="1" applyBorder="1"/>
    <xf numFmtId="0" fontId="43" fillId="13" borderId="33" xfId="0" applyFont="1" applyFill="1" applyBorder="1" applyProtection="1">
      <protection locked="0"/>
    </xf>
    <xf numFmtId="173" fontId="35" fillId="0" borderId="0" xfId="0" applyNumberFormat="1" applyFont="1"/>
    <xf numFmtId="0" fontId="33" fillId="0" borderId="30" xfId="0" applyFont="1" applyBorder="1" applyAlignment="1">
      <alignment horizontal="center"/>
    </xf>
    <xf numFmtId="0" fontId="46" fillId="0" borderId="0" xfId="0" applyFont="1"/>
    <xf numFmtId="171" fontId="4" fillId="0" borderId="0" xfId="0" applyNumberFormat="1" applyFont="1"/>
    <xf numFmtId="0" fontId="0" fillId="0" borderId="0" xfId="0" applyFont="1"/>
    <xf numFmtId="170" fontId="4" fillId="0" borderId="0" xfId="48" applyNumberFormat="1" applyFont="1"/>
    <xf numFmtId="170" fontId="46" fillId="0" borderId="0" xfId="48" applyNumberFormat="1" applyFont="1"/>
    <xf numFmtId="171" fontId="46" fillId="0" borderId="0" xfId="0" applyNumberFormat="1" applyFont="1"/>
    <xf numFmtId="171" fontId="4" fillId="0" borderId="0" xfId="48" applyNumberFormat="1" applyFont="1"/>
    <xf numFmtId="171" fontId="46" fillId="0" borderId="0" xfId="48" applyNumberFormat="1" applyFont="1"/>
    <xf numFmtId="0" fontId="0" fillId="0" borderId="0" xfId="0" applyAlignment="1">
      <alignment horizontal="right"/>
    </xf>
    <xf numFmtId="170" fontId="0" fillId="0" borderId="0" xfId="48" applyNumberFormat="1" applyFont="1"/>
    <xf numFmtId="0" fontId="4" fillId="0" borderId="0" xfId="41" applyBorder="1"/>
    <xf numFmtId="0" fontId="1" fillId="0" borderId="1" xfId="41" applyFont="1" applyBorder="1" applyAlignment="1">
      <alignment horizontal="left"/>
    </xf>
    <xf numFmtId="0" fontId="49" fillId="2" borderId="0" xfId="41" applyFont="1" applyFill="1"/>
    <xf numFmtId="0" fontId="1" fillId="0" borderId="2" xfId="41" applyFont="1" applyBorder="1"/>
    <xf numFmtId="0" fontId="49" fillId="0" borderId="3" xfId="41" applyFont="1" applyBorder="1"/>
    <xf numFmtId="0" fontId="49" fillId="3" borderId="0" xfId="41" applyFont="1" applyFill="1"/>
    <xf numFmtId="0" fontId="1" fillId="4" borderId="4" xfId="41" applyFont="1" applyFill="1" applyBorder="1"/>
    <xf numFmtId="0" fontId="1" fillId="0" borderId="1" xfId="41" applyFont="1" applyBorder="1"/>
    <xf numFmtId="0" fontId="1" fillId="0" borderId="5" xfId="41" applyFont="1" applyBorder="1"/>
    <xf numFmtId="0" fontId="49" fillId="5" borderId="0" xfId="41" applyFont="1" applyFill="1"/>
    <xf numFmtId="0" fontId="49" fillId="6" borderId="4" xfId="41" applyFont="1" applyFill="1" applyBorder="1"/>
    <xf numFmtId="0" fontId="1" fillId="3" borderId="4" xfId="41" applyFont="1" applyFill="1" applyBorder="1"/>
    <xf numFmtId="0" fontId="1" fillId="3" borderId="6" xfId="41" applyFont="1" applyFill="1" applyBorder="1"/>
    <xf numFmtId="0" fontId="49" fillId="2" borderId="4" xfId="41" applyFont="1" applyFill="1" applyBorder="1"/>
    <xf numFmtId="0" fontId="49" fillId="3" borderId="4" xfId="41" applyFont="1" applyFill="1" applyBorder="1"/>
    <xf numFmtId="0" fontId="49" fillId="5" borderId="6" xfId="41" applyFont="1" applyFill="1" applyBorder="1"/>
    <xf numFmtId="0" fontId="49" fillId="6" borderId="0" xfId="41" applyFont="1" applyFill="1"/>
    <xf numFmtId="0" fontId="49" fillId="5" borderId="4" xfId="41" applyFont="1" applyFill="1" applyBorder="1"/>
    <xf numFmtId="0" fontId="49" fillId="3" borderId="6" xfId="41" applyFont="1" applyFill="1" applyBorder="1"/>
    <xf numFmtId="0" fontId="49" fillId="7" borderId="0" xfId="41" applyFont="1" applyFill="1"/>
    <xf numFmtId="0" fontId="1" fillId="2" borderId="4" xfId="41" applyFont="1" applyFill="1" applyBorder="1"/>
    <xf numFmtId="0" fontId="1" fillId="6" borderId="2" xfId="41" applyFont="1" applyFill="1" applyBorder="1"/>
    <xf numFmtId="0" fontId="1" fillId="7" borderId="7" xfId="41" applyFont="1" applyFill="1" applyBorder="1"/>
    <xf numFmtId="0" fontId="49" fillId="7" borderId="4" xfId="41" applyFont="1" applyFill="1" applyBorder="1"/>
    <xf numFmtId="0" fontId="49" fillId="6" borderId="8" xfId="41" applyFont="1" applyFill="1" applyBorder="1"/>
    <xf numFmtId="0" fontId="49" fillId="6" borderId="9" xfId="41" applyFont="1" applyFill="1" applyBorder="1"/>
    <xf numFmtId="0" fontId="49" fillId="2" borderId="8" xfId="41" applyFont="1" applyFill="1" applyBorder="1"/>
    <xf numFmtId="0" fontId="49" fillId="7" borderId="10" xfId="41" applyFont="1" applyFill="1" applyBorder="1"/>
    <xf numFmtId="0" fontId="49" fillId="0" borderId="6" xfId="41" applyFont="1" applyBorder="1"/>
    <xf numFmtId="0" fontId="49" fillId="2" borderId="0" xfId="41" applyFont="1" applyFill="1" applyAlignment="1">
      <alignment horizontal="right"/>
    </xf>
    <xf numFmtId="0" fontId="1" fillId="0" borderId="10" xfId="41" applyFont="1" applyBorder="1"/>
    <xf numFmtId="0" fontId="49" fillId="0" borderId="0" xfId="41" applyFont="1"/>
    <xf numFmtId="0" fontId="49" fillId="8" borderId="0" xfId="41" applyFont="1" applyFill="1" applyAlignment="1">
      <alignment horizontal="left"/>
    </xf>
    <xf numFmtId="0" fontId="50" fillId="8" borderId="0" xfId="41" applyFont="1" applyFill="1" applyAlignment="1">
      <alignment horizontal="center"/>
    </xf>
    <xf numFmtId="0" fontId="1" fillId="0" borderId="9" xfId="41" applyFont="1" applyBorder="1"/>
    <xf numFmtId="0" fontId="1" fillId="0" borderId="11" xfId="41" applyFont="1" applyBorder="1"/>
    <xf numFmtId="0" fontId="49" fillId="8" borderId="0" xfId="41" applyFont="1" applyFill="1" applyAlignment="1">
      <alignment horizontal="center"/>
    </xf>
    <xf numFmtId="170" fontId="60" fillId="0" borderId="0" xfId="48" applyNumberFormat="1" applyFont="1" applyBorder="1" applyAlignment="1">
      <alignment horizontal="right"/>
    </xf>
    <xf numFmtId="9" fontId="60" fillId="0" borderId="0" xfId="48" applyFont="1" applyBorder="1"/>
    <xf numFmtId="9" fontId="60" fillId="0" borderId="0" xfId="48" applyFont="1"/>
    <xf numFmtId="170" fontId="60" fillId="0" borderId="0" xfId="48" applyNumberFormat="1" applyFont="1" applyFill="1" applyBorder="1" applyAlignment="1">
      <alignment horizontal="right"/>
    </xf>
    <xf numFmtId="170" fontId="60" fillId="0" borderId="0" xfId="48" applyNumberFormat="1" applyFont="1" applyFill="1" applyBorder="1"/>
    <xf numFmtId="172" fontId="60" fillId="0" borderId="0" xfId="28" applyNumberFormat="1" applyFont="1" applyFill="1" applyBorder="1"/>
    <xf numFmtId="0" fontId="1" fillId="0" borderId="34" xfId="45" applyFont="1" applyBorder="1"/>
    <xf numFmtId="0" fontId="1" fillId="0" borderId="35" xfId="45" applyFont="1" applyBorder="1"/>
    <xf numFmtId="0" fontId="1" fillId="0" borderId="36" xfId="45" applyFont="1" applyBorder="1"/>
    <xf numFmtId="0" fontId="52" fillId="2" borderId="37" xfId="45" applyFont="1" applyFill="1" applyBorder="1"/>
    <xf numFmtId="0" fontId="52" fillId="0" borderId="35" xfId="45" applyFont="1" applyBorder="1"/>
    <xf numFmtId="0" fontId="52" fillId="0" borderId="5" xfId="45" applyFont="1" applyBorder="1"/>
    <xf numFmtId="0" fontId="49" fillId="0" borderId="8" xfId="45" applyFont="1" applyBorder="1"/>
    <xf numFmtId="0" fontId="49" fillId="0" borderId="0" xfId="45" applyFont="1" applyBorder="1"/>
    <xf numFmtId="0" fontId="49" fillId="0" borderId="0" xfId="45" applyFont="1" applyBorder="1" applyAlignment="1">
      <alignment horizontal="center"/>
    </xf>
    <xf numFmtId="0" fontId="49" fillId="0" borderId="38" xfId="45" applyFont="1" applyBorder="1" applyAlignment="1">
      <alignment horizontal="center"/>
    </xf>
    <xf numFmtId="0" fontId="49" fillId="2" borderId="19" xfId="45" applyFont="1" applyFill="1" applyBorder="1" applyAlignment="1">
      <alignment horizontal="center"/>
    </xf>
    <xf numFmtId="0" fontId="49" fillId="0" borderId="14" xfId="45" applyFont="1" applyBorder="1" applyAlignment="1">
      <alignment horizontal="center"/>
    </xf>
    <xf numFmtId="0" fontId="49" fillId="0" borderId="28" xfId="45" applyFont="1" applyBorder="1"/>
    <xf numFmtId="0" fontId="49" fillId="2" borderId="19" xfId="45" applyFont="1" applyFill="1" applyBorder="1"/>
    <xf numFmtId="0" fontId="49" fillId="0" borderId="6" xfId="45" applyFont="1" applyBorder="1"/>
    <xf numFmtId="0" fontId="49" fillId="0" borderId="30" xfId="45" applyFont="1" applyBorder="1"/>
    <xf numFmtId="0" fontId="49" fillId="0" borderId="31" xfId="45" applyFont="1" applyBorder="1"/>
    <xf numFmtId="0" fontId="49" fillId="0" borderId="39" xfId="45" applyFont="1" applyBorder="1"/>
    <xf numFmtId="171" fontId="49" fillId="0" borderId="0" xfId="49" applyNumberFormat="1" applyFont="1" applyBorder="1"/>
    <xf numFmtId="171" fontId="49" fillId="0" borderId="6" xfId="49" applyNumberFormat="1" applyFont="1" applyBorder="1"/>
    <xf numFmtId="1" fontId="49" fillId="0" borderId="6" xfId="49" applyNumberFormat="1" applyFont="1" applyBorder="1"/>
    <xf numFmtId="0" fontId="49" fillId="0" borderId="0" xfId="45" applyBorder="1"/>
    <xf numFmtId="170" fontId="49" fillId="0" borderId="30" xfId="49" applyNumberFormat="1" applyFont="1" applyBorder="1"/>
    <xf numFmtId="171" fontId="49" fillId="0" borderId="39" xfId="45" applyNumberFormat="1" applyFont="1" applyBorder="1"/>
    <xf numFmtId="171" fontId="49" fillId="0" borderId="30" xfId="49" applyNumberFormat="1" applyFont="1" applyBorder="1"/>
    <xf numFmtId="171" fontId="49" fillId="0" borderId="6" xfId="45" applyNumberFormat="1" applyFont="1" applyBorder="1"/>
    <xf numFmtId="0" fontId="1" fillId="0" borderId="0" xfId="45" applyFont="1" applyBorder="1"/>
    <xf numFmtId="171" fontId="1" fillId="0" borderId="1" xfId="45" applyNumberFormat="1" applyFont="1" applyBorder="1"/>
    <xf numFmtId="0" fontId="51" fillId="0" borderId="2" xfId="45" applyFont="1" applyBorder="1"/>
    <xf numFmtId="0" fontId="49" fillId="0" borderId="17" xfId="45" applyBorder="1"/>
    <xf numFmtId="0" fontId="49" fillId="0" borderId="17" xfId="45" applyFill="1" applyBorder="1"/>
    <xf numFmtId="0" fontId="0" fillId="0" borderId="17" xfId="0" applyBorder="1"/>
    <xf numFmtId="0" fontId="0" fillId="0" borderId="3" xfId="0" applyBorder="1"/>
    <xf numFmtId="0" fontId="49" fillId="0" borderId="0" xfId="45" applyFill="1" applyBorder="1"/>
    <xf numFmtId="0" fontId="0" fillId="0" borderId="0" xfId="0" applyBorder="1"/>
    <xf numFmtId="0" fontId="0" fillId="0" borderId="6" xfId="0" applyBorder="1"/>
    <xf numFmtId="170" fontId="49" fillId="0" borderId="0" xfId="49" applyNumberFormat="1" applyFont="1" applyBorder="1"/>
    <xf numFmtId="0" fontId="49" fillId="0" borderId="40" xfId="45" applyFont="1" applyBorder="1"/>
    <xf numFmtId="0" fontId="49" fillId="0" borderId="41" xfId="45" applyFont="1" applyBorder="1"/>
    <xf numFmtId="171" fontId="49" fillId="0" borderId="42" xfId="45" applyNumberFormat="1" applyFont="1" applyBorder="1"/>
    <xf numFmtId="0" fontId="49" fillId="2" borderId="43" xfId="45" applyFont="1" applyFill="1" applyBorder="1"/>
    <xf numFmtId="0" fontId="0" fillId="0" borderId="22" xfId="0" applyBorder="1"/>
    <xf numFmtId="0" fontId="0" fillId="0" borderId="11" xfId="0" applyBorder="1"/>
    <xf numFmtId="0" fontId="57" fillId="0" borderId="0" xfId="0" applyFont="1"/>
    <xf numFmtId="0" fontId="58" fillId="0" borderId="0" xfId="0" applyFont="1"/>
    <xf numFmtId="0" fontId="57" fillId="0" borderId="23" xfId="0" applyFont="1" applyBorder="1"/>
    <xf numFmtId="0" fontId="57" fillId="0" borderId="24" xfId="0" applyFont="1" applyBorder="1"/>
    <xf numFmtId="0" fontId="57" fillId="0" borderId="26" xfId="0" applyFont="1" applyBorder="1"/>
    <xf numFmtId="0" fontId="57" fillId="0" borderId="27" xfId="0" applyFont="1" applyBorder="1"/>
    <xf numFmtId="0" fontId="57" fillId="0" borderId="0" xfId="0" applyFont="1" applyBorder="1"/>
    <xf numFmtId="0" fontId="57" fillId="0" borderId="28" xfId="0" applyFont="1" applyBorder="1"/>
    <xf numFmtId="0" fontId="57" fillId="0" borderId="29" xfId="0" applyFont="1" applyBorder="1"/>
    <xf numFmtId="0" fontId="57" fillId="0" borderId="30" xfId="0" applyFont="1" applyBorder="1"/>
    <xf numFmtId="0" fontId="57" fillId="0" borderId="31" xfId="0" applyFont="1" applyBorder="1"/>
    <xf numFmtId="0" fontId="61" fillId="0" borderId="0" xfId="0" applyFont="1"/>
    <xf numFmtId="0" fontId="6" fillId="0" borderId="0" xfId="0" applyFont="1" applyAlignment="1">
      <alignment horizontal="right"/>
    </xf>
    <xf numFmtId="164" fontId="57" fillId="0" borderId="0" xfId="0" applyNumberFormat="1" applyFont="1" applyBorder="1"/>
    <xf numFmtId="164" fontId="57" fillId="0" borderId="28" xfId="0" applyNumberFormat="1" applyFont="1" applyBorder="1"/>
    <xf numFmtId="3" fontId="57" fillId="0" borderId="0" xfId="0" applyNumberFormat="1" applyFont="1" applyBorder="1"/>
    <xf numFmtId="3" fontId="57" fillId="0" borderId="28" xfId="0" applyNumberFormat="1" applyFont="1" applyBorder="1"/>
    <xf numFmtId="37" fontId="57" fillId="0" borderId="0" xfId="0" applyNumberFormat="1" applyFont="1" applyBorder="1"/>
    <xf numFmtId="37" fontId="57" fillId="0" borderId="28" xfId="0" applyNumberFormat="1" applyFont="1" applyBorder="1"/>
    <xf numFmtId="171" fontId="57" fillId="0" borderId="0" xfId="0" applyNumberFormat="1" applyFont="1" applyBorder="1"/>
    <xf numFmtId="171" fontId="57" fillId="0" borderId="28" xfId="0" applyNumberFormat="1" applyFont="1" applyBorder="1"/>
    <xf numFmtId="0" fontId="0" fillId="0" borderId="28" xfId="0" applyBorder="1"/>
    <xf numFmtId="0" fontId="57" fillId="0" borderId="0" xfId="0" applyFont="1" applyBorder="1" applyAlignment="1">
      <alignment horizontal="right"/>
    </xf>
    <xf numFmtId="1" fontId="57" fillId="0" borderId="0" xfId="0" applyNumberFormat="1" applyFont="1" applyBorder="1"/>
    <xf numFmtId="1" fontId="57" fillId="0" borderId="30" xfId="0" applyNumberFormat="1" applyFont="1" applyBorder="1"/>
    <xf numFmtId="0" fontId="62" fillId="0" borderId="30" xfId="0" applyFont="1" applyBorder="1"/>
    <xf numFmtId="0" fontId="62" fillId="0" borderId="0" xfId="0" applyFont="1" applyBorder="1"/>
    <xf numFmtId="164" fontId="62" fillId="0" borderId="0" xfId="50" applyNumberFormat="1" applyFont="1"/>
    <xf numFmtId="0" fontId="63" fillId="0" borderId="23" xfId="0" applyFont="1" applyBorder="1"/>
    <xf numFmtId="0" fontId="4" fillId="0" borderId="24" xfId="0" applyFont="1" applyBorder="1"/>
    <xf numFmtId="0" fontId="33" fillId="0" borderId="25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33" fillId="0" borderId="2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4" fillId="0" borderId="27" xfId="0" applyFont="1" applyBorder="1"/>
    <xf numFmtId="0" fontId="34" fillId="0" borderId="28" xfId="0" applyFont="1" applyBorder="1"/>
    <xf numFmtId="0" fontId="34" fillId="0" borderId="29" xfId="0" applyFont="1" applyBorder="1"/>
    <xf numFmtId="0" fontId="65" fillId="0" borderId="0" xfId="0" applyFont="1" applyBorder="1"/>
    <xf numFmtId="0" fontId="0" fillId="0" borderId="29" xfId="0" applyBorder="1"/>
    <xf numFmtId="0" fontId="33" fillId="0" borderId="29" xfId="0" applyFont="1" applyBorder="1" applyAlignment="1">
      <alignment horizontal="center"/>
    </xf>
    <xf numFmtId="0" fontId="33" fillId="0" borderId="31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35" fillId="0" borderId="0" xfId="0" quotePrefix="1" applyFont="1"/>
    <xf numFmtId="0" fontId="65" fillId="0" borderId="8" xfId="0" quotePrefix="1" applyFont="1" applyBorder="1"/>
    <xf numFmtId="0" fontId="0" fillId="0" borderId="8" xfId="0" applyBorder="1"/>
    <xf numFmtId="0" fontId="0" fillId="0" borderId="9" xfId="0" applyBorder="1"/>
    <xf numFmtId="0" fontId="43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46" fillId="0" borderId="0" xfId="0" applyFont="1" applyProtection="1">
      <protection locked="0"/>
    </xf>
    <xf numFmtId="0" fontId="35" fillId="0" borderId="0" xfId="0" quotePrefix="1" applyFont="1" applyProtection="1">
      <protection locked="0"/>
    </xf>
    <xf numFmtId="0" fontId="63" fillId="0" borderId="0" xfId="0" applyFont="1"/>
    <xf numFmtId="0" fontId="34" fillId="0" borderId="0" xfId="0" applyFont="1" applyBorder="1" applyProtection="1">
      <protection locked="0"/>
    </xf>
    <xf numFmtId="0" fontId="43" fillId="0" borderId="0" xfId="0" applyFont="1" applyBorder="1" applyProtection="1">
      <protection locked="0"/>
    </xf>
    <xf numFmtId="0" fontId="4" fillId="0" borderId="0" xfId="0" applyFont="1" applyBorder="1"/>
    <xf numFmtId="0" fontId="4" fillId="0" borderId="28" xfId="0" applyFont="1" applyBorder="1"/>
    <xf numFmtId="0" fontId="35" fillId="0" borderId="29" xfId="0" applyFont="1" applyBorder="1" applyProtection="1">
      <protection locked="0"/>
    </xf>
    <xf numFmtId="0" fontId="36" fillId="0" borderId="30" xfId="0" applyFont="1" applyBorder="1" applyProtection="1">
      <protection locked="0"/>
    </xf>
    <xf numFmtId="0" fontId="35" fillId="0" borderId="30" xfId="0" applyFont="1" applyBorder="1" applyProtection="1">
      <protection locked="0"/>
    </xf>
    <xf numFmtId="0" fontId="0" fillId="0" borderId="30" xfId="0" applyBorder="1"/>
    <xf numFmtId="0" fontId="0" fillId="0" borderId="31" xfId="0" applyBorder="1"/>
    <xf numFmtId="0" fontId="43" fillId="0" borderId="27" xfId="0" quotePrefix="1" applyFont="1" applyBorder="1" applyProtection="1">
      <protection locked="0"/>
    </xf>
    <xf numFmtId="0" fontId="36" fillId="0" borderId="0" xfId="0" applyFont="1" applyBorder="1" applyProtection="1">
      <protection locked="0"/>
    </xf>
    <xf numFmtId="0" fontId="35" fillId="0" borderId="0" xfId="0" applyFont="1" applyBorder="1" applyProtection="1">
      <protection locked="0"/>
    </xf>
    <xf numFmtId="0" fontId="43" fillId="0" borderId="29" xfId="0" quotePrefix="1" applyFont="1" applyBorder="1" applyProtection="1">
      <protection locked="0"/>
    </xf>
    <xf numFmtId="170" fontId="64" fillId="0" borderId="27" xfId="48" applyNumberFormat="1" applyFont="1" applyBorder="1" applyAlignment="1">
      <alignment horizontal="right"/>
    </xf>
    <xf numFmtId="170" fontId="45" fillId="0" borderId="0" xfId="48" applyNumberFormat="1" applyFont="1" applyBorder="1" applyAlignment="1">
      <alignment horizontal="right"/>
    </xf>
    <xf numFmtId="171" fontId="0" fillId="0" borderId="29" xfId="0" applyNumberFormat="1" applyBorder="1"/>
    <xf numFmtId="171" fontId="0" fillId="0" borderId="0" xfId="0" applyNumberFormat="1" applyBorder="1"/>
    <xf numFmtId="171" fontId="0" fillId="0" borderId="27" xfId="0" applyNumberFormat="1" applyBorder="1"/>
    <xf numFmtId="170" fontId="0" fillId="0" borderId="27" xfId="48" applyNumberFormat="1" applyFont="1" applyBorder="1"/>
    <xf numFmtId="170" fontId="0" fillId="0" borderId="0" xfId="48" quotePrefix="1" applyNumberFormat="1" applyFont="1" applyBorder="1"/>
    <xf numFmtId="170" fontId="0" fillId="0" borderId="28" xfId="48" quotePrefix="1" applyNumberFormat="1" applyFont="1" applyBorder="1"/>
    <xf numFmtId="170" fontId="0" fillId="0" borderId="29" xfId="48" applyNumberFormat="1" applyFont="1" applyBorder="1"/>
    <xf numFmtId="170" fontId="0" fillId="0" borderId="30" xfId="48" quotePrefix="1" applyNumberFormat="1" applyFont="1" applyBorder="1"/>
    <xf numFmtId="170" fontId="0" fillId="0" borderId="31" xfId="48" quotePrefix="1" applyNumberFormat="1" applyFont="1" applyBorder="1"/>
    <xf numFmtId="0" fontId="4" fillId="0" borderId="2" xfId="41" applyBorder="1"/>
    <xf numFmtId="0" fontId="4" fillId="0" borderId="17" xfId="41" applyBorder="1"/>
    <xf numFmtId="0" fontId="4" fillId="0" borderId="8" xfId="41" applyBorder="1"/>
    <xf numFmtId="0" fontId="4" fillId="0" borderId="0" xfId="41" applyBorder="1"/>
    <xf numFmtId="0" fontId="4" fillId="0" borderId="8" xfId="41" applyFont="1" applyBorder="1"/>
    <xf numFmtId="0" fontId="4" fillId="0" borderId="9" xfId="41" applyFont="1" applyBorder="1"/>
    <xf numFmtId="0" fontId="4" fillId="0" borderId="22" xfId="41" applyBorder="1"/>
    <xf numFmtId="0" fontId="65" fillId="0" borderId="8" xfId="41" quotePrefix="1" applyFont="1" applyBorder="1"/>
    <xf numFmtId="0" fontId="43" fillId="0" borderId="8" xfId="41" quotePrefix="1" applyFont="1" applyBorder="1"/>
    <xf numFmtId="0" fontId="33" fillId="0" borderId="23" xfId="41" applyFont="1" applyBorder="1"/>
    <xf numFmtId="0" fontId="33" fillId="0" borderId="24" xfId="41" applyFont="1" applyBorder="1"/>
    <xf numFmtId="0" fontId="33" fillId="0" borderId="26" xfId="41" applyFont="1" applyBorder="1"/>
    <xf numFmtId="0" fontId="33" fillId="0" borderId="27" xfId="41" applyFont="1" applyBorder="1" applyAlignment="1">
      <alignment horizontal="right"/>
    </xf>
    <xf numFmtId="0" fontId="33" fillId="0" borderId="0" xfId="41" applyFont="1" applyBorder="1"/>
    <xf numFmtId="0" fontId="33" fillId="0" borderId="28" xfId="41" applyFont="1" applyBorder="1"/>
    <xf numFmtId="0" fontId="4" fillId="0" borderId="0" xfId="41"/>
    <xf numFmtId="0" fontId="33" fillId="0" borderId="29" xfId="41" applyFont="1" applyBorder="1" applyAlignment="1">
      <alignment horizontal="right"/>
    </xf>
    <xf numFmtId="0" fontId="33" fillId="0" borderId="30" xfId="41" applyFont="1" applyBorder="1"/>
    <xf numFmtId="0" fontId="33" fillId="0" borderId="31" xfId="41" applyFont="1" applyBorder="1"/>
    <xf numFmtId="0" fontId="4" fillId="0" borderId="23" xfId="41" applyFont="1" applyBorder="1"/>
    <xf numFmtId="171" fontId="4" fillId="0" borderId="24" xfId="41" applyNumberFormat="1" applyFont="1" applyBorder="1"/>
    <xf numFmtId="170" fontId="4" fillId="0" borderId="24" xfId="49" applyNumberFormat="1" applyFont="1" applyBorder="1"/>
    <xf numFmtId="0" fontId="4" fillId="0" borderId="26" xfId="41" applyFont="1" applyBorder="1"/>
    <xf numFmtId="0" fontId="32" fillId="0" borderId="0" xfId="41" applyFont="1"/>
    <xf numFmtId="0" fontId="4" fillId="0" borderId="27" xfId="41" applyFont="1" applyBorder="1"/>
    <xf numFmtId="171" fontId="4" fillId="0" borderId="0" xfId="41" applyNumberFormat="1" applyFont="1" applyBorder="1"/>
    <xf numFmtId="170" fontId="4" fillId="0" borderId="0" xfId="49" applyNumberFormat="1" applyFont="1" applyBorder="1"/>
    <xf numFmtId="0" fontId="4" fillId="0" borderId="28" xfId="41" applyFont="1" applyBorder="1"/>
    <xf numFmtId="0" fontId="4" fillId="0" borderId="0" xfId="41" applyFont="1"/>
    <xf numFmtId="0" fontId="43" fillId="0" borderId="27" xfId="41" quotePrefix="1" applyFont="1" applyBorder="1" applyProtection="1">
      <protection locked="0"/>
    </xf>
    <xf numFmtId="0" fontId="34" fillId="0" borderId="0" xfId="41" applyFont="1" applyBorder="1" applyProtection="1">
      <protection locked="0"/>
    </xf>
    <xf numFmtId="0" fontId="43" fillId="0" borderId="0" xfId="41" applyFont="1" applyBorder="1" applyProtection="1">
      <protection locked="0"/>
    </xf>
    <xf numFmtId="0" fontId="4" fillId="0" borderId="0" xfId="41" applyFont="1" applyBorder="1"/>
    <xf numFmtId="0" fontId="33" fillId="0" borderId="0" xfId="41" applyFont="1"/>
    <xf numFmtId="0" fontId="43" fillId="0" borderId="23" xfId="41" quotePrefix="1" applyFont="1" applyBorder="1" applyProtection="1">
      <protection locked="0"/>
    </xf>
    <xf numFmtId="0" fontId="34" fillId="0" borderId="24" xfId="41" applyFont="1" applyBorder="1" applyProtection="1">
      <protection locked="0"/>
    </xf>
    <xf numFmtId="0" fontId="43" fillId="0" borderId="24" xfId="41" applyFont="1" applyBorder="1" applyProtection="1">
      <protection locked="0"/>
    </xf>
    <xf numFmtId="0" fontId="4" fillId="0" borderId="24" xfId="41" applyFont="1" applyBorder="1"/>
    <xf numFmtId="170" fontId="43" fillId="0" borderId="24" xfId="49" applyNumberFormat="1" applyFont="1" applyBorder="1" applyProtection="1">
      <protection locked="0"/>
    </xf>
    <xf numFmtId="170" fontId="43" fillId="0" borderId="0" xfId="49" applyNumberFormat="1" applyFont="1" applyBorder="1" applyProtection="1">
      <protection locked="0"/>
    </xf>
    <xf numFmtId="0" fontId="32" fillId="0" borderId="0" xfId="41" quotePrefix="1" applyFont="1"/>
    <xf numFmtId="171" fontId="43" fillId="0" borderId="0" xfId="41" applyNumberFormat="1" applyFont="1" applyBorder="1" applyProtection="1">
      <protection locked="0"/>
    </xf>
    <xf numFmtId="0" fontId="36" fillId="0" borderId="0" xfId="41" applyFont="1" applyBorder="1" applyProtection="1">
      <protection locked="0"/>
    </xf>
    <xf numFmtId="0" fontId="35" fillId="0" borderId="0" xfId="41" applyFont="1" applyBorder="1" applyProtection="1">
      <protection locked="0"/>
    </xf>
    <xf numFmtId="0" fontId="43" fillId="0" borderId="27" xfId="41" applyFont="1" applyBorder="1" applyProtection="1">
      <protection locked="0"/>
    </xf>
    <xf numFmtId="0" fontId="43" fillId="0" borderId="27" xfId="0" applyFont="1" applyBorder="1" applyProtection="1">
      <protection locked="0"/>
    </xf>
    <xf numFmtId="171" fontId="43" fillId="0" borderId="24" xfId="41" applyNumberFormat="1" applyFont="1" applyBorder="1" applyProtection="1">
      <protection locked="0"/>
    </xf>
    <xf numFmtId="170" fontId="0" fillId="0" borderId="24" xfId="49" applyNumberFormat="1" applyFont="1" applyBorder="1"/>
    <xf numFmtId="170" fontId="0" fillId="0" borderId="0" xfId="49" applyNumberFormat="1" applyFont="1" applyBorder="1"/>
    <xf numFmtId="0" fontId="43" fillId="0" borderId="0" xfId="41" quotePrefix="1" applyFont="1" applyBorder="1" applyProtection="1">
      <protection locked="0"/>
    </xf>
    <xf numFmtId="0" fontId="36" fillId="0" borderId="24" xfId="41" applyFont="1" applyBorder="1" applyProtection="1">
      <protection locked="0"/>
    </xf>
    <xf numFmtId="0" fontId="35" fillId="0" borderId="24" xfId="41" applyFont="1" applyBorder="1" applyProtection="1">
      <protection locked="0"/>
    </xf>
    <xf numFmtId="0" fontId="4" fillId="0" borderId="24" xfId="41" applyBorder="1"/>
    <xf numFmtId="0" fontId="4" fillId="0" borderId="26" xfId="41" applyBorder="1"/>
    <xf numFmtId="171" fontId="35" fillId="0" borderId="0" xfId="49" applyNumberFormat="1" applyFont="1" applyFill="1" applyBorder="1" applyProtection="1">
      <protection locked="0"/>
    </xf>
    <xf numFmtId="1" fontId="33" fillId="0" borderId="0" xfId="41" applyNumberFormat="1" applyFont="1"/>
    <xf numFmtId="0" fontId="4" fillId="0" borderId="28" xfId="41" applyBorder="1"/>
    <xf numFmtId="171" fontId="33" fillId="0" borderId="0" xfId="41" applyNumberFormat="1" applyFont="1"/>
    <xf numFmtId="0" fontId="43" fillId="0" borderId="29" xfId="41" applyFont="1" applyBorder="1" applyProtection="1">
      <protection locked="0"/>
    </xf>
    <xf numFmtId="0" fontId="36" fillId="0" borderId="30" xfId="41" applyFont="1" applyBorder="1" applyProtection="1">
      <protection locked="0"/>
    </xf>
    <xf numFmtId="0" fontId="35" fillId="0" borderId="30" xfId="41" applyFont="1" applyBorder="1" applyProtection="1">
      <protection locked="0"/>
    </xf>
    <xf numFmtId="0" fontId="4" fillId="0" borderId="30" xfId="41" applyBorder="1"/>
    <xf numFmtId="0" fontId="4" fillId="0" borderId="31" xfId="41" applyBorder="1"/>
    <xf numFmtId="0" fontId="43" fillId="0" borderId="27" xfId="41" applyFont="1" applyFill="1" applyBorder="1" applyProtection="1">
      <protection locked="0"/>
    </xf>
    <xf numFmtId="0" fontId="33" fillId="0" borderId="0" xfId="41" quotePrefix="1" applyFont="1"/>
    <xf numFmtId="0" fontId="43" fillId="0" borderId="29" xfId="41" quotePrefix="1" applyFont="1" applyBorder="1" applyProtection="1">
      <protection locked="0"/>
    </xf>
    <xf numFmtId="0" fontId="43" fillId="0" borderId="23" xfId="41" applyFont="1" applyBorder="1" applyProtection="1">
      <protection locked="0"/>
    </xf>
    <xf numFmtId="0" fontId="34" fillId="0" borderId="30" xfId="41" applyFont="1" applyBorder="1" applyProtection="1">
      <protection locked="0"/>
    </xf>
    <xf numFmtId="0" fontId="43" fillId="0" borderId="30" xfId="41" applyFont="1" applyBorder="1" applyProtection="1">
      <protection locked="0"/>
    </xf>
    <xf numFmtId="0" fontId="4" fillId="0" borderId="30" xfId="41" applyFont="1" applyBorder="1"/>
    <xf numFmtId="173" fontId="34" fillId="0" borderId="0" xfId="0" applyNumberFormat="1" applyFont="1" applyProtection="1">
      <protection locked="0"/>
    </xf>
    <xf numFmtId="173" fontId="34" fillId="0" borderId="30" xfId="0" applyNumberFormat="1" applyFont="1" applyBorder="1" applyProtection="1">
      <protection locked="0"/>
    </xf>
    <xf numFmtId="173" fontId="43" fillId="0" borderId="0" xfId="0" applyNumberFormat="1" applyFont="1"/>
    <xf numFmtId="173" fontId="43" fillId="0" borderId="30" xfId="0" applyNumberFormat="1" applyFont="1" applyBorder="1"/>
    <xf numFmtId="171" fontId="43" fillId="0" borderId="0" xfId="0" applyNumberFormat="1" applyFont="1"/>
    <xf numFmtId="165" fontId="34" fillId="0" borderId="0" xfId="28" applyNumberFormat="1" applyFont="1" applyProtection="1">
      <protection locked="0"/>
    </xf>
    <xf numFmtId="174" fontId="34" fillId="0" borderId="0" xfId="28" applyNumberFormat="1" applyFont="1" applyProtection="1">
      <protection locked="0"/>
    </xf>
    <xf numFmtId="165" fontId="43" fillId="0" borderId="0" xfId="28" applyNumberFormat="1" applyFont="1"/>
    <xf numFmtId="174" fontId="43" fillId="0" borderId="0" xfId="28" applyNumberFormat="1" applyFont="1"/>
    <xf numFmtId="4" fontId="43" fillId="0" borderId="0" xfId="28" applyNumberFormat="1" applyFont="1"/>
    <xf numFmtId="173" fontId="43" fillId="0" borderId="0" xfId="0" applyNumberFormat="1" applyFont="1" applyBorder="1" applyProtection="1">
      <protection locked="0"/>
    </xf>
    <xf numFmtId="173" fontId="43" fillId="0" borderId="0" xfId="0" applyNumberFormat="1" applyFont="1" applyProtection="1">
      <protection locked="0"/>
    </xf>
    <xf numFmtId="173" fontId="43" fillId="0" borderId="30" xfId="0" applyNumberFormat="1" applyFont="1" applyBorder="1" applyProtection="1">
      <protection locked="0"/>
    </xf>
    <xf numFmtId="173" fontId="43" fillId="0" borderId="32" xfId="0" applyNumberFormat="1" applyFont="1" applyBorder="1"/>
    <xf numFmtId="173" fontId="34" fillId="0" borderId="0" xfId="0" applyNumberFormat="1" applyFont="1" applyBorder="1" applyProtection="1">
      <protection locked="0"/>
    </xf>
    <xf numFmtId="173" fontId="34" fillId="0" borderId="32" xfId="0" applyNumberFormat="1" applyFont="1" applyBorder="1"/>
    <xf numFmtId="171" fontId="4" fillId="0" borderId="0" xfId="0" applyNumberFormat="1" applyFont="1"/>
    <xf numFmtId="170" fontId="4" fillId="0" borderId="0" xfId="48" applyNumberFormat="1" applyFont="1"/>
    <xf numFmtId="171" fontId="4" fillId="0" borderId="0" xfId="48" applyNumberFormat="1" applyFont="1"/>
    <xf numFmtId="170" fontId="0" fillId="0" borderId="0" xfId="48" applyNumberFormat="1" applyFont="1"/>
    <xf numFmtId="0" fontId="35" fillId="0" borderId="0" xfId="41" applyFont="1" applyProtection="1">
      <protection locked="0"/>
    </xf>
    <xf numFmtId="0" fontId="34" fillId="0" borderId="0" xfId="41" applyFont="1" applyProtection="1">
      <protection locked="0"/>
    </xf>
    <xf numFmtId="0" fontId="43" fillId="0" borderId="0" xfId="41" applyFont="1" applyProtection="1">
      <protection locked="0"/>
    </xf>
    <xf numFmtId="0" fontId="43" fillId="0" borderId="27" xfId="41" quotePrefix="1" applyFont="1" applyBorder="1" applyAlignment="1" applyProtection="1">
      <alignment horizontal="right"/>
      <protection locked="0"/>
    </xf>
  </cellXfs>
  <cellStyles count="5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urrency" xfId="28" builtinId="4"/>
    <cellStyle name="Currency 2" xfId="29"/>
    <cellStyle name="Explanatory Text" xfId="30"/>
    <cellStyle name="Followed Hyperlink_diagrams for Cohen Finance Book.xls" xfId="31"/>
    <cellStyle name="Good" xfId="32"/>
    <cellStyle name="Heading 1" xfId="33"/>
    <cellStyle name="Heading 2" xfId="34"/>
    <cellStyle name="Heading 3" xfId="35"/>
    <cellStyle name="Heading 4" xfId="36"/>
    <cellStyle name="Hyperlink_diagrams for Cohen Finance Book.xls" xfId="37"/>
    <cellStyle name="Input" xfId="38"/>
    <cellStyle name="Linked Cell" xfId="39"/>
    <cellStyle name="Neutral" xfId="40"/>
    <cellStyle name="Normal" xfId="0" builtinId="0"/>
    <cellStyle name="Normal 2" xfId="41"/>
    <cellStyle name="Normal 2 2" xfId="42"/>
    <cellStyle name="Normal 2_Copy in NWC sheets for Ch 6 (version 1).xls" xfId="43"/>
    <cellStyle name="Normal 3" xfId="44"/>
    <cellStyle name="Normal_diagrams for Cohen Finance Book.xls" xfId="45"/>
    <cellStyle name="Note" xfId="46"/>
    <cellStyle name="Output" xfId="47"/>
    <cellStyle name="Percent" xfId="48" builtinId="5"/>
    <cellStyle name="Percent 2" xfId="49"/>
    <cellStyle name="Percent 3" xfId="50"/>
    <cellStyle name="Title" xfId="51"/>
    <cellStyle name="Total" xfId="52"/>
    <cellStyle name="Warning Text" xfId="5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139700</xdr:rowOff>
    </xdr:from>
    <xdr:to>
      <xdr:col>3</xdr:col>
      <xdr:colOff>12700</xdr:colOff>
      <xdr:row>17</xdr:row>
      <xdr:rowOff>127000</xdr:rowOff>
    </xdr:to>
    <xdr:sp macro="" textlink="">
      <xdr:nvSpPr>
        <xdr:cNvPr id="18053" name="Line 1"/>
        <xdr:cNvSpPr>
          <a:spLocks noChangeShapeType="1"/>
        </xdr:cNvSpPr>
      </xdr:nvSpPr>
      <xdr:spPr bwMode="auto">
        <a:xfrm>
          <a:off x="1981200" y="2692400"/>
          <a:ext cx="233680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76200</xdr:colOff>
      <xdr:row>7</xdr:row>
      <xdr:rowOff>12700</xdr:rowOff>
    </xdr:from>
    <xdr:to>
      <xdr:col>4</xdr:col>
      <xdr:colOff>292100</xdr:colOff>
      <xdr:row>7</xdr:row>
      <xdr:rowOff>12700</xdr:rowOff>
    </xdr:to>
    <xdr:sp macro="" textlink="">
      <xdr:nvSpPr>
        <xdr:cNvPr id="18054" name="Line 2"/>
        <xdr:cNvSpPr>
          <a:spLocks noChangeShapeType="1"/>
        </xdr:cNvSpPr>
      </xdr:nvSpPr>
      <xdr:spPr bwMode="auto">
        <a:xfrm>
          <a:off x="7200900" y="1384300"/>
          <a:ext cx="21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279400</xdr:colOff>
      <xdr:row>7</xdr:row>
      <xdr:rowOff>12700</xdr:rowOff>
    </xdr:from>
    <xdr:to>
      <xdr:col>4</xdr:col>
      <xdr:colOff>279400</xdr:colOff>
      <xdr:row>12</xdr:row>
      <xdr:rowOff>12700</xdr:rowOff>
    </xdr:to>
    <xdr:sp macro="" textlink="">
      <xdr:nvSpPr>
        <xdr:cNvPr id="18055" name="Line 3"/>
        <xdr:cNvSpPr>
          <a:spLocks noChangeShapeType="1"/>
        </xdr:cNvSpPr>
      </xdr:nvSpPr>
      <xdr:spPr bwMode="auto">
        <a:xfrm>
          <a:off x="7404100" y="1384300"/>
          <a:ext cx="0" cy="97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25400</xdr:colOff>
      <xdr:row>19</xdr:row>
      <xdr:rowOff>0</xdr:rowOff>
    </xdr:from>
    <xdr:to>
      <xdr:col>4</xdr:col>
      <xdr:colOff>241300</xdr:colOff>
      <xdr:row>19</xdr:row>
      <xdr:rowOff>0</xdr:rowOff>
    </xdr:to>
    <xdr:sp macro="" textlink="">
      <xdr:nvSpPr>
        <xdr:cNvPr id="18056" name="Line 4"/>
        <xdr:cNvSpPr>
          <a:spLocks noChangeShapeType="1"/>
        </xdr:cNvSpPr>
      </xdr:nvSpPr>
      <xdr:spPr bwMode="auto">
        <a:xfrm>
          <a:off x="7150100" y="3683000"/>
          <a:ext cx="21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50800</xdr:colOff>
      <xdr:row>12</xdr:row>
      <xdr:rowOff>0</xdr:rowOff>
    </xdr:from>
    <xdr:to>
      <xdr:col>4</xdr:col>
      <xdr:colOff>228600</xdr:colOff>
      <xdr:row>12</xdr:row>
      <xdr:rowOff>0</xdr:rowOff>
    </xdr:to>
    <xdr:sp macro="" textlink="">
      <xdr:nvSpPr>
        <xdr:cNvPr id="18057" name="Line 5"/>
        <xdr:cNvSpPr>
          <a:spLocks noChangeShapeType="1"/>
        </xdr:cNvSpPr>
      </xdr:nvSpPr>
      <xdr:spPr bwMode="auto">
        <a:xfrm>
          <a:off x="7175500" y="23495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63500</xdr:colOff>
      <xdr:row>12</xdr:row>
      <xdr:rowOff>0</xdr:rowOff>
    </xdr:from>
    <xdr:to>
      <xdr:col>4</xdr:col>
      <xdr:colOff>279400</xdr:colOff>
      <xdr:row>12</xdr:row>
      <xdr:rowOff>0</xdr:rowOff>
    </xdr:to>
    <xdr:sp macro="" textlink="">
      <xdr:nvSpPr>
        <xdr:cNvPr id="18058" name="Line 6"/>
        <xdr:cNvSpPr>
          <a:spLocks noChangeShapeType="1"/>
        </xdr:cNvSpPr>
      </xdr:nvSpPr>
      <xdr:spPr bwMode="auto">
        <a:xfrm>
          <a:off x="7188200" y="2349500"/>
          <a:ext cx="21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901700</xdr:colOff>
      <xdr:row>11</xdr:row>
      <xdr:rowOff>101600</xdr:rowOff>
    </xdr:from>
    <xdr:to>
      <xdr:col>5</xdr:col>
      <xdr:colOff>571500</xdr:colOff>
      <xdr:row>18</xdr:row>
      <xdr:rowOff>76200</xdr:rowOff>
    </xdr:to>
    <xdr:sp macro="" textlink="">
      <xdr:nvSpPr>
        <xdr:cNvPr id="18059" name="Line 7"/>
        <xdr:cNvSpPr>
          <a:spLocks noChangeShapeType="1"/>
        </xdr:cNvSpPr>
      </xdr:nvSpPr>
      <xdr:spPr bwMode="auto">
        <a:xfrm>
          <a:off x="901700" y="2247900"/>
          <a:ext cx="7239000" cy="130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863600</xdr:colOff>
      <xdr:row>9</xdr:row>
      <xdr:rowOff>114300</xdr:rowOff>
    </xdr:from>
    <xdr:to>
      <xdr:col>5</xdr:col>
      <xdr:colOff>1549400</xdr:colOff>
      <xdr:row>12</xdr:row>
      <xdr:rowOff>12700</xdr:rowOff>
    </xdr:to>
    <xdr:sp macro="" textlink="">
      <xdr:nvSpPr>
        <xdr:cNvPr id="18060" name="Line 8"/>
        <xdr:cNvSpPr>
          <a:spLocks noChangeShapeType="1"/>
        </xdr:cNvSpPr>
      </xdr:nvSpPr>
      <xdr:spPr bwMode="auto">
        <a:xfrm>
          <a:off x="8432800" y="1866900"/>
          <a:ext cx="6858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990600</xdr:colOff>
      <xdr:row>12</xdr:row>
      <xdr:rowOff>152400</xdr:rowOff>
    </xdr:from>
    <xdr:to>
      <xdr:col>5</xdr:col>
      <xdr:colOff>1473200</xdr:colOff>
      <xdr:row>15</xdr:row>
      <xdr:rowOff>88900</xdr:rowOff>
    </xdr:to>
    <xdr:sp macro="" textlink="">
      <xdr:nvSpPr>
        <xdr:cNvPr id="18061" name="Line 9"/>
        <xdr:cNvSpPr>
          <a:spLocks noChangeShapeType="1"/>
        </xdr:cNvSpPr>
      </xdr:nvSpPr>
      <xdr:spPr bwMode="auto">
        <a:xfrm flipV="1">
          <a:off x="8559800" y="2501900"/>
          <a:ext cx="4826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1473200</xdr:colOff>
      <xdr:row>12</xdr:row>
      <xdr:rowOff>127000</xdr:rowOff>
    </xdr:from>
    <xdr:to>
      <xdr:col>5</xdr:col>
      <xdr:colOff>1993900</xdr:colOff>
      <xdr:row>19</xdr:row>
      <xdr:rowOff>0</xdr:rowOff>
    </xdr:to>
    <xdr:sp macro="" textlink="">
      <xdr:nvSpPr>
        <xdr:cNvPr id="18062" name="Line 10"/>
        <xdr:cNvSpPr>
          <a:spLocks noChangeShapeType="1"/>
        </xdr:cNvSpPr>
      </xdr:nvSpPr>
      <xdr:spPr bwMode="auto">
        <a:xfrm flipH="1">
          <a:off x="9042400" y="2476500"/>
          <a:ext cx="520700" cy="1206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38100</xdr:colOff>
      <xdr:row>13</xdr:row>
      <xdr:rowOff>12700</xdr:rowOff>
    </xdr:from>
    <xdr:to>
      <xdr:col>4</xdr:col>
      <xdr:colOff>266700</xdr:colOff>
      <xdr:row>13</xdr:row>
      <xdr:rowOff>12700</xdr:rowOff>
    </xdr:to>
    <xdr:sp macro="" textlink="">
      <xdr:nvSpPr>
        <xdr:cNvPr id="18063" name="Line 11"/>
        <xdr:cNvSpPr>
          <a:spLocks noChangeShapeType="1"/>
        </xdr:cNvSpPr>
      </xdr:nvSpPr>
      <xdr:spPr bwMode="auto">
        <a:xfrm>
          <a:off x="7162800" y="256540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254000</xdr:colOff>
      <xdr:row>13</xdr:row>
      <xdr:rowOff>12700</xdr:rowOff>
    </xdr:from>
    <xdr:to>
      <xdr:col>4</xdr:col>
      <xdr:colOff>254000</xdr:colOff>
      <xdr:row>19</xdr:row>
      <xdr:rowOff>0</xdr:rowOff>
    </xdr:to>
    <xdr:sp macro="" textlink="">
      <xdr:nvSpPr>
        <xdr:cNvPr id="18064" name="Line 12"/>
        <xdr:cNvSpPr>
          <a:spLocks noChangeShapeType="1"/>
        </xdr:cNvSpPr>
      </xdr:nvSpPr>
      <xdr:spPr bwMode="auto">
        <a:xfrm>
          <a:off x="7378700" y="2565400"/>
          <a:ext cx="0" cy="111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266700</xdr:colOff>
      <xdr:row>15</xdr:row>
      <xdr:rowOff>88900</xdr:rowOff>
    </xdr:from>
    <xdr:to>
      <xdr:col>4</xdr:col>
      <xdr:colOff>406400</xdr:colOff>
      <xdr:row>15</xdr:row>
      <xdr:rowOff>88900</xdr:rowOff>
    </xdr:to>
    <xdr:sp macro="" textlink="">
      <xdr:nvSpPr>
        <xdr:cNvPr id="18065" name="Line 13"/>
        <xdr:cNvSpPr>
          <a:spLocks noChangeShapeType="1"/>
        </xdr:cNvSpPr>
      </xdr:nvSpPr>
      <xdr:spPr bwMode="auto">
        <a:xfrm>
          <a:off x="7391400" y="2997200"/>
          <a:ext cx="13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292100</xdr:colOff>
      <xdr:row>9</xdr:row>
      <xdr:rowOff>101600</xdr:rowOff>
    </xdr:from>
    <xdr:to>
      <xdr:col>5</xdr:col>
      <xdr:colOff>25400</xdr:colOff>
      <xdr:row>9</xdr:row>
      <xdr:rowOff>114300</xdr:rowOff>
    </xdr:to>
    <xdr:sp macro="" textlink="">
      <xdr:nvSpPr>
        <xdr:cNvPr id="18066" name="Line 14"/>
        <xdr:cNvSpPr>
          <a:spLocks noChangeShapeType="1"/>
        </xdr:cNvSpPr>
      </xdr:nvSpPr>
      <xdr:spPr bwMode="auto">
        <a:xfrm>
          <a:off x="7416800" y="1854200"/>
          <a:ext cx="17780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</xdr:row>
      <xdr:rowOff>76200</xdr:rowOff>
    </xdr:from>
    <xdr:to>
      <xdr:col>6</xdr:col>
      <xdr:colOff>25400</xdr:colOff>
      <xdr:row>22</xdr:row>
      <xdr:rowOff>38100</xdr:rowOff>
    </xdr:to>
    <xdr:sp macro="" textlink="">
      <xdr:nvSpPr>
        <xdr:cNvPr id="23681" name="Line 1"/>
        <xdr:cNvSpPr>
          <a:spLocks noChangeShapeType="1"/>
        </xdr:cNvSpPr>
      </xdr:nvSpPr>
      <xdr:spPr bwMode="auto">
        <a:xfrm flipH="1" flipV="1">
          <a:off x="5740400" y="2908300"/>
          <a:ext cx="698500" cy="58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0</xdr:colOff>
      <xdr:row>31</xdr:row>
      <xdr:rowOff>12700</xdr:rowOff>
    </xdr:from>
    <xdr:to>
      <xdr:col>8</xdr:col>
      <xdr:colOff>368300</xdr:colOff>
      <xdr:row>31</xdr:row>
      <xdr:rowOff>12700</xdr:rowOff>
    </xdr:to>
    <xdr:sp macro="" textlink="">
      <xdr:nvSpPr>
        <xdr:cNvPr id="23682" name="Line 2"/>
        <xdr:cNvSpPr>
          <a:spLocks noChangeShapeType="1"/>
        </xdr:cNvSpPr>
      </xdr:nvSpPr>
      <xdr:spPr bwMode="auto">
        <a:xfrm>
          <a:off x="5740400" y="4876800"/>
          <a:ext cx="2387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406400</xdr:colOff>
      <xdr:row>1</xdr:row>
      <xdr:rowOff>38100</xdr:rowOff>
    </xdr:from>
    <xdr:to>
      <xdr:col>5</xdr:col>
      <xdr:colOff>406400</xdr:colOff>
      <xdr:row>4</xdr:row>
      <xdr:rowOff>114300</xdr:rowOff>
    </xdr:to>
    <xdr:sp macro="" textlink="">
      <xdr:nvSpPr>
        <xdr:cNvPr id="23683" name="Line 3"/>
        <xdr:cNvSpPr>
          <a:spLocks noChangeShapeType="1"/>
        </xdr:cNvSpPr>
      </xdr:nvSpPr>
      <xdr:spPr bwMode="auto">
        <a:xfrm>
          <a:off x="6146800" y="190500"/>
          <a:ext cx="0" cy="558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406400</xdr:colOff>
      <xdr:row>1</xdr:row>
      <xdr:rowOff>50800</xdr:rowOff>
    </xdr:from>
    <xdr:to>
      <xdr:col>6</xdr:col>
      <xdr:colOff>0</xdr:colOff>
      <xdr:row>1</xdr:row>
      <xdr:rowOff>50800</xdr:rowOff>
    </xdr:to>
    <xdr:sp macro="" textlink="">
      <xdr:nvSpPr>
        <xdr:cNvPr id="23684" name="Line 4"/>
        <xdr:cNvSpPr>
          <a:spLocks noChangeShapeType="1"/>
        </xdr:cNvSpPr>
      </xdr:nvSpPr>
      <xdr:spPr bwMode="auto">
        <a:xfrm>
          <a:off x="6146800" y="2032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381000</xdr:colOff>
      <xdr:row>26</xdr:row>
      <xdr:rowOff>101600</xdr:rowOff>
    </xdr:from>
    <xdr:to>
      <xdr:col>8</xdr:col>
      <xdr:colOff>381000</xdr:colOff>
      <xdr:row>31</xdr:row>
      <xdr:rowOff>12700</xdr:rowOff>
    </xdr:to>
    <xdr:sp macro="" textlink="">
      <xdr:nvSpPr>
        <xdr:cNvPr id="23685" name="Line 5"/>
        <xdr:cNvSpPr>
          <a:spLocks noChangeShapeType="1"/>
        </xdr:cNvSpPr>
      </xdr:nvSpPr>
      <xdr:spPr bwMode="auto">
        <a:xfrm>
          <a:off x="8140700" y="4178300"/>
          <a:ext cx="0" cy="698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0</xdr:colOff>
      <xdr:row>26</xdr:row>
      <xdr:rowOff>76200</xdr:rowOff>
    </xdr:from>
    <xdr:to>
      <xdr:col>8</xdr:col>
      <xdr:colOff>355600</xdr:colOff>
      <xdr:row>26</xdr:row>
      <xdr:rowOff>76200</xdr:rowOff>
    </xdr:to>
    <xdr:sp macro="" textlink="">
      <xdr:nvSpPr>
        <xdr:cNvPr id="23686" name="Line 6"/>
        <xdr:cNvSpPr>
          <a:spLocks noChangeShapeType="1"/>
        </xdr:cNvSpPr>
      </xdr:nvSpPr>
      <xdr:spPr bwMode="auto">
        <a:xfrm>
          <a:off x="5740400" y="4152900"/>
          <a:ext cx="237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0</xdr:colOff>
      <xdr:row>22</xdr:row>
      <xdr:rowOff>63500</xdr:rowOff>
    </xdr:from>
    <xdr:to>
      <xdr:col>6</xdr:col>
      <xdr:colOff>25400</xdr:colOff>
      <xdr:row>25</xdr:row>
      <xdr:rowOff>101600</xdr:rowOff>
    </xdr:to>
    <xdr:sp macro="" textlink="">
      <xdr:nvSpPr>
        <xdr:cNvPr id="23687" name="Line 7"/>
        <xdr:cNvSpPr>
          <a:spLocks noChangeShapeType="1"/>
        </xdr:cNvSpPr>
      </xdr:nvSpPr>
      <xdr:spPr bwMode="auto">
        <a:xfrm flipH="1">
          <a:off x="5740400" y="3517900"/>
          <a:ext cx="698500" cy="50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279400</xdr:colOff>
      <xdr:row>4</xdr:row>
      <xdr:rowOff>152400</xdr:rowOff>
    </xdr:from>
    <xdr:to>
      <xdr:col>8</xdr:col>
      <xdr:colOff>393700</xdr:colOff>
      <xdr:row>28</xdr:row>
      <xdr:rowOff>114300</xdr:rowOff>
    </xdr:to>
    <xdr:sp macro="" textlink="">
      <xdr:nvSpPr>
        <xdr:cNvPr id="23688" name="Line 8"/>
        <xdr:cNvSpPr>
          <a:spLocks noChangeShapeType="1"/>
        </xdr:cNvSpPr>
      </xdr:nvSpPr>
      <xdr:spPr bwMode="auto">
        <a:xfrm flipH="1" flipV="1">
          <a:off x="6692900" y="787400"/>
          <a:ext cx="1460500" cy="372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2044700</xdr:colOff>
      <xdr:row>2</xdr:row>
      <xdr:rowOff>127000</xdr:rowOff>
    </xdr:from>
    <xdr:to>
      <xdr:col>5</xdr:col>
      <xdr:colOff>12700</xdr:colOff>
      <xdr:row>2</xdr:row>
      <xdr:rowOff>127000</xdr:rowOff>
    </xdr:to>
    <xdr:sp macro="" textlink="">
      <xdr:nvSpPr>
        <xdr:cNvPr id="23689" name="Line 9"/>
        <xdr:cNvSpPr>
          <a:spLocks noChangeShapeType="1"/>
        </xdr:cNvSpPr>
      </xdr:nvSpPr>
      <xdr:spPr bwMode="auto">
        <a:xfrm>
          <a:off x="5740400" y="431800"/>
          <a:ext cx="1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406400</xdr:colOff>
      <xdr:row>4</xdr:row>
      <xdr:rowOff>114300</xdr:rowOff>
    </xdr:from>
    <xdr:to>
      <xdr:col>5</xdr:col>
      <xdr:colOff>508000</xdr:colOff>
      <xdr:row>4</xdr:row>
      <xdr:rowOff>114300</xdr:rowOff>
    </xdr:to>
    <xdr:sp macro="" textlink="">
      <xdr:nvSpPr>
        <xdr:cNvPr id="23690" name="Line 10"/>
        <xdr:cNvSpPr>
          <a:spLocks noChangeShapeType="1"/>
        </xdr:cNvSpPr>
      </xdr:nvSpPr>
      <xdr:spPr bwMode="auto">
        <a:xfrm>
          <a:off x="6146800" y="749300"/>
          <a:ext cx="10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558800</xdr:colOff>
      <xdr:row>2</xdr:row>
      <xdr:rowOff>114300</xdr:rowOff>
    </xdr:from>
    <xdr:to>
      <xdr:col>3</xdr:col>
      <xdr:colOff>558800</xdr:colOff>
      <xdr:row>3</xdr:row>
      <xdr:rowOff>139700</xdr:rowOff>
    </xdr:to>
    <xdr:sp macro="" textlink="">
      <xdr:nvSpPr>
        <xdr:cNvPr id="23691" name="Line 11"/>
        <xdr:cNvSpPr>
          <a:spLocks noChangeShapeType="1"/>
        </xdr:cNvSpPr>
      </xdr:nvSpPr>
      <xdr:spPr bwMode="auto">
        <a:xfrm flipV="1">
          <a:off x="3505200" y="4191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495300</xdr:colOff>
      <xdr:row>3</xdr:row>
      <xdr:rowOff>12700</xdr:rowOff>
    </xdr:from>
    <xdr:to>
      <xdr:col>4</xdr:col>
      <xdr:colOff>495300</xdr:colOff>
      <xdr:row>4</xdr:row>
      <xdr:rowOff>0</xdr:rowOff>
    </xdr:to>
    <xdr:sp macro="" textlink="">
      <xdr:nvSpPr>
        <xdr:cNvPr id="23692" name="Line 12"/>
        <xdr:cNvSpPr>
          <a:spLocks noChangeShapeType="1"/>
        </xdr:cNvSpPr>
      </xdr:nvSpPr>
      <xdr:spPr bwMode="auto">
        <a:xfrm flipV="1">
          <a:off x="4902200" y="4826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5</xdr:col>
      <xdr:colOff>292100</xdr:colOff>
      <xdr:row>2</xdr:row>
      <xdr:rowOff>88900</xdr:rowOff>
    </xdr:from>
    <xdr:to>
      <xdr:col>5</xdr:col>
      <xdr:colOff>393700</xdr:colOff>
      <xdr:row>2</xdr:row>
      <xdr:rowOff>88900</xdr:rowOff>
    </xdr:to>
    <xdr:sp macro="" textlink="">
      <xdr:nvSpPr>
        <xdr:cNvPr id="23693" name="Line 14"/>
        <xdr:cNvSpPr>
          <a:spLocks noChangeShapeType="1"/>
        </xdr:cNvSpPr>
      </xdr:nvSpPr>
      <xdr:spPr bwMode="auto">
        <a:xfrm>
          <a:off x="6032500" y="393700"/>
          <a:ext cx="101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88900</xdr:colOff>
      <xdr:row>3</xdr:row>
      <xdr:rowOff>12700</xdr:rowOff>
    </xdr:from>
    <xdr:to>
      <xdr:col>8</xdr:col>
      <xdr:colOff>88900</xdr:colOff>
      <xdr:row>4</xdr:row>
      <xdr:rowOff>101600</xdr:rowOff>
    </xdr:to>
    <xdr:sp macro="" textlink="">
      <xdr:nvSpPr>
        <xdr:cNvPr id="23694" name="Line 15"/>
        <xdr:cNvSpPr>
          <a:spLocks noChangeShapeType="1"/>
        </xdr:cNvSpPr>
      </xdr:nvSpPr>
      <xdr:spPr bwMode="auto">
        <a:xfrm>
          <a:off x="7848600" y="482600"/>
          <a:ext cx="0" cy="25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88900</xdr:colOff>
      <xdr:row>7</xdr:row>
      <xdr:rowOff>88900</xdr:rowOff>
    </xdr:from>
    <xdr:to>
      <xdr:col>8</xdr:col>
      <xdr:colOff>88900</xdr:colOff>
      <xdr:row>8</xdr:row>
      <xdr:rowOff>114300</xdr:rowOff>
    </xdr:to>
    <xdr:sp macro="" textlink="">
      <xdr:nvSpPr>
        <xdr:cNvPr id="23695" name="Line 16"/>
        <xdr:cNvSpPr>
          <a:spLocks noChangeShapeType="1"/>
        </xdr:cNvSpPr>
      </xdr:nvSpPr>
      <xdr:spPr bwMode="auto">
        <a:xfrm>
          <a:off x="7848600" y="11938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1181100</xdr:colOff>
      <xdr:row>2</xdr:row>
      <xdr:rowOff>76200</xdr:rowOff>
    </xdr:from>
    <xdr:to>
      <xdr:col>3</xdr:col>
      <xdr:colOff>1397000</xdr:colOff>
      <xdr:row>2</xdr:row>
      <xdr:rowOff>76200</xdr:rowOff>
    </xdr:to>
    <xdr:sp macro="" textlink="">
      <xdr:nvSpPr>
        <xdr:cNvPr id="23696" name="Line 17"/>
        <xdr:cNvSpPr>
          <a:spLocks noChangeShapeType="1"/>
        </xdr:cNvSpPr>
      </xdr:nvSpPr>
      <xdr:spPr bwMode="auto">
        <a:xfrm>
          <a:off x="4127500" y="381000"/>
          <a:ext cx="21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 rtlCol="0" anchor="ctr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zoomScale="125" workbookViewId="0"/>
  </sheetViews>
  <sheetFormatPr baseColWidth="10" defaultColWidth="11.5" defaultRowHeight="14" x14ac:dyDescent="0"/>
  <sheetData>
    <row r="1" spans="1:6">
      <c r="A1" s="1" t="s">
        <v>340</v>
      </c>
      <c r="B1" s="1" t="s">
        <v>259</v>
      </c>
    </row>
    <row r="2" spans="1:6">
      <c r="B2" t="s">
        <v>210</v>
      </c>
      <c r="F2" s="2" t="s">
        <v>106</v>
      </c>
    </row>
    <row r="3" spans="1:6">
      <c r="A3" s="1" t="s">
        <v>212</v>
      </c>
      <c r="F3" s="2" t="s">
        <v>106</v>
      </c>
    </row>
    <row r="4" spans="1:6">
      <c r="B4" t="s">
        <v>192</v>
      </c>
    </row>
    <row r="5" spans="1:6">
      <c r="B5" t="s">
        <v>109</v>
      </c>
    </row>
    <row r="6" spans="1:6">
      <c r="B6" t="s">
        <v>110</v>
      </c>
    </row>
    <row r="8" spans="1:6">
      <c r="A8" s="1" t="s">
        <v>193</v>
      </c>
    </row>
    <row r="9" spans="1:6">
      <c r="B9" t="s">
        <v>384</v>
      </c>
    </row>
    <row r="10" spans="1:6">
      <c r="B10" t="s">
        <v>67</v>
      </c>
    </row>
    <row r="11" spans="1:6">
      <c r="B11" t="s">
        <v>130</v>
      </c>
    </row>
    <row r="12" spans="1:6">
      <c r="B12" t="s">
        <v>279</v>
      </c>
    </row>
    <row r="14" spans="1:6">
      <c r="B14" s="277" t="s">
        <v>194</v>
      </c>
    </row>
    <row r="15" spans="1:6">
      <c r="B15" t="s">
        <v>335</v>
      </c>
    </row>
    <row r="16" spans="1:6">
      <c r="B16" t="s">
        <v>66</v>
      </c>
    </row>
    <row r="18" spans="1:3">
      <c r="B18" t="s">
        <v>182</v>
      </c>
    </row>
    <row r="19" spans="1:3">
      <c r="B19" t="s">
        <v>336</v>
      </c>
    </row>
    <row r="20" spans="1:3">
      <c r="B20" s="278" t="s">
        <v>183</v>
      </c>
      <c r="C20" t="s">
        <v>337</v>
      </c>
    </row>
    <row r="21" spans="1:3">
      <c r="B21" s="278" t="s">
        <v>184</v>
      </c>
      <c r="C21" t="s">
        <v>338</v>
      </c>
    </row>
    <row r="22" spans="1:3">
      <c r="B22" s="278" t="s">
        <v>185</v>
      </c>
      <c r="C22" t="s">
        <v>339</v>
      </c>
    </row>
    <row r="24" spans="1:3">
      <c r="A24" s="1" t="s">
        <v>211</v>
      </c>
    </row>
    <row r="25" spans="1:3">
      <c r="A25">
        <v>1</v>
      </c>
      <c r="B25" t="s">
        <v>97</v>
      </c>
    </row>
    <row r="26" spans="1:3">
      <c r="B26" t="s">
        <v>195</v>
      </c>
    </row>
    <row r="27" spans="1:3">
      <c r="B27" t="s">
        <v>100</v>
      </c>
    </row>
    <row r="29" spans="1:3">
      <c r="A29">
        <v>2</v>
      </c>
      <c r="B29" t="s">
        <v>341</v>
      </c>
    </row>
    <row r="30" spans="1:3">
      <c r="A30" t="s">
        <v>106</v>
      </c>
      <c r="B30" t="s">
        <v>196</v>
      </c>
    </row>
    <row r="31" spans="1:3">
      <c r="B31" t="s">
        <v>98</v>
      </c>
    </row>
    <row r="32" spans="1:3">
      <c r="B32" t="s">
        <v>342</v>
      </c>
    </row>
    <row r="33" spans="2:6">
      <c r="B33" t="s">
        <v>197</v>
      </c>
    </row>
    <row r="34" spans="2:6">
      <c r="B34" t="s">
        <v>198</v>
      </c>
    </row>
    <row r="36" spans="2:6">
      <c r="B36" s="2" t="s">
        <v>105</v>
      </c>
    </row>
    <row r="37" spans="2:6">
      <c r="B37" s="2" t="s">
        <v>238</v>
      </c>
    </row>
    <row r="38" spans="2:6">
      <c r="B38" s="2" t="s">
        <v>239</v>
      </c>
      <c r="C38" s="2"/>
      <c r="D38" s="2"/>
      <c r="E38" s="2"/>
      <c r="F38" s="2"/>
    </row>
    <row r="39" spans="2:6">
      <c r="B39" s="2" t="s">
        <v>204</v>
      </c>
      <c r="C39" s="2"/>
      <c r="D39" s="2"/>
      <c r="E39" s="2"/>
      <c r="F39" s="2"/>
    </row>
    <row r="40" spans="2:6">
      <c r="B40" s="2" t="s">
        <v>205</v>
      </c>
      <c r="C40" s="2"/>
      <c r="D40" s="2"/>
      <c r="E40" s="2"/>
      <c r="F40" s="2"/>
    </row>
    <row r="41" spans="2:6">
      <c r="B41" s="2" t="s">
        <v>206</v>
      </c>
      <c r="C41" s="2"/>
      <c r="D41" s="2"/>
      <c r="E41" s="2"/>
      <c r="F41" s="2"/>
    </row>
    <row r="42" spans="2:6">
      <c r="B42" s="2" t="s">
        <v>240</v>
      </c>
      <c r="C42" s="2"/>
      <c r="D42" s="2"/>
      <c r="E42" s="2"/>
      <c r="F42" s="2"/>
    </row>
    <row r="44" spans="2:6">
      <c r="B44" s="2" t="s">
        <v>207</v>
      </c>
    </row>
    <row r="56" spans="2:2">
      <c r="B56" t="s">
        <v>106</v>
      </c>
    </row>
    <row r="57" spans="2:2">
      <c r="B57" t="s">
        <v>106</v>
      </c>
    </row>
  </sheetData>
  <phoneticPr fontId="8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37"/>
  <sheetViews>
    <sheetView workbookViewId="0"/>
  </sheetViews>
  <sheetFormatPr baseColWidth="10" defaultColWidth="8.83203125" defaultRowHeight="12" x14ac:dyDescent="0"/>
  <cols>
    <col min="1" max="1" width="26" style="3" customWidth="1"/>
    <col min="2" max="2" width="3.5" style="3" customWidth="1"/>
    <col min="3" max="3" width="27" style="3" customWidth="1"/>
    <col min="4" max="4" width="37" style="3" customWidth="1"/>
    <col min="5" max="5" width="5.83203125" style="3" customWidth="1"/>
    <col min="6" max="6" width="34.6640625" style="3" customWidth="1"/>
    <col min="7" max="16384" width="8.83203125" style="3"/>
  </cols>
  <sheetData>
    <row r="1" spans="1:10" ht="16" thickBot="1">
      <c r="A1" s="181" t="s">
        <v>237</v>
      </c>
      <c r="B1" s="182"/>
      <c r="C1" s="183" t="s">
        <v>236</v>
      </c>
      <c r="D1" s="184"/>
      <c r="E1" s="182"/>
      <c r="F1" s="185" t="s">
        <v>107</v>
      </c>
      <c r="G1" s="182"/>
      <c r="H1" s="182"/>
      <c r="I1" s="182"/>
      <c r="J1" s="182"/>
    </row>
    <row r="2" spans="1:10" ht="16" thickBot="1">
      <c r="A2" s="186" t="s">
        <v>174</v>
      </c>
      <c r="B2" s="182"/>
      <c r="C2" s="187" t="s">
        <v>215</v>
      </c>
      <c r="D2" s="188" t="s">
        <v>323</v>
      </c>
      <c r="E2" s="182"/>
      <c r="F2" s="189" t="s">
        <v>322</v>
      </c>
      <c r="G2" s="182"/>
      <c r="H2" s="182"/>
      <c r="I2" s="182"/>
      <c r="J2" s="182"/>
    </row>
    <row r="3" spans="1:10" ht="15">
      <c r="A3" s="190" t="s">
        <v>321</v>
      </c>
      <c r="B3" s="182"/>
      <c r="C3" s="191" t="s">
        <v>320</v>
      </c>
      <c r="D3" s="192" t="s">
        <v>319</v>
      </c>
      <c r="E3" s="182"/>
      <c r="F3" s="185" t="s">
        <v>318</v>
      </c>
      <c r="G3" s="182"/>
      <c r="H3" s="182"/>
      <c r="I3" s="182"/>
      <c r="J3" s="182"/>
    </row>
    <row r="4" spans="1:10" ht="15">
      <c r="A4" s="193" t="s">
        <v>317</v>
      </c>
      <c r="B4" s="182"/>
      <c r="C4" s="194" t="s">
        <v>316</v>
      </c>
      <c r="D4" s="195" t="s">
        <v>315</v>
      </c>
      <c r="E4" s="182"/>
      <c r="F4" s="196" t="s">
        <v>244</v>
      </c>
      <c r="G4" s="182"/>
      <c r="H4" s="182"/>
      <c r="I4" s="182"/>
      <c r="J4" s="182"/>
    </row>
    <row r="5" spans="1:10" ht="15">
      <c r="A5" s="193" t="s">
        <v>314</v>
      </c>
      <c r="B5" s="182"/>
      <c r="C5" s="194" t="s">
        <v>313</v>
      </c>
      <c r="D5" s="195" t="s">
        <v>312</v>
      </c>
      <c r="E5" s="182"/>
      <c r="F5" s="196" t="s">
        <v>311</v>
      </c>
      <c r="G5" s="182"/>
      <c r="H5" s="182"/>
      <c r="I5" s="182"/>
      <c r="J5" s="182"/>
    </row>
    <row r="6" spans="1:10" ht="15">
      <c r="A6" s="190" t="s">
        <v>310</v>
      </c>
      <c r="B6" s="182"/>
      <c r="C6" s="197" t="s">
        <v>309</v>
      </c>
      <c r="D6" s="198" t="s">
        <v>308</v>
      </c>
      <c r="E6" s="182"/>
      <c r="F6" s="199" t="s">
        <v>163</v>
      </c>
      <c r="G6" s="182"/>
      <c r="H6" s="182"/>
      <c r="I6" s="182"/>
      <c r="J6" s="182"/>
    </row>
    <row r="7" spans="1:10" ht="16" thickBot="1">
      <c r="A7" s="193" t="s">
        <v>307</v>
      </c>
      <c r="B7" s="182"/>
      <c r="C7" s="197" t="s">
        <v>213</v>
      </c>
      <c r="D7" s="198" t="s">
        <v>306</v>
      </c>
      <c r="E7" s="182"/>
      <c r="F7" s="199" t="s">
        <v>305</v>
      </c>
      <c r="G7" s="182"/>
      <c r="H7" s="182"/>
      <c r="I7" s="182"/>
      <c r="J7" s="182"/>
    </row>
    <row r="8" spans="1:10" ht="15">
      <c r="A8" s="200" t="s">
        <v>304</v>
      </c>
      <c r="B8" s="182"/>
      <c r="C8" s="201" t="s">
        <v>303</v>
      </c>
      <c r="D8" s="202" t="s">
        <v>302</v>
      </c>
      <c r="E8" s="182"/>
      <c r="F8" s="182"/>
      <c r="G8" s="182"/>
      <c r="H8" s="182"/>
      <c r="I8" s="182"/>
      <c r="J8" s="182"/>
    </row>
    <row r="9" spans="1:10" ht="15">
      <c r="A9" s="203" t="s">
        <v>186</v>
      </c>
      <c r="B9" s="182"/>
      <c r="C9" s="204" t="s">
        <v>300</v>
      </c>
      <c r="D9" s="203" t="s">
        <v>299</v>
      </c>
      <c r="E9" s="182"/>
      <c r="F9" s="182"/>
      <c r="G9" s="182"/>
      <c r="H9" s="182"/>
      <c r="I9" s="182"/>
      <c r="J9" s="182"/>
    </row>
    <row r="10" spans="1:10" ht="15">
      <c r="A10" s="193" t="s">
        <v>298</v>
      </c>
      <c r="B10" s="182"/>
      <c r="C10" s="204" t="s">
        <v>297</v>
      </c>
      <c r="D10" s="203" t="s">
        <v>296</v>
      </c>
      <c r="E10" s="182"/>
      <c r="F10" s="182" t="s">
        <v>295</v>
      </c>
      <c r="G10" s="182"/>
      <c r="H10" s="182"/>
      <c r="I10" s="182"/>
      <c r="J10" s="182"/>
    </row>
    <row r="11" spans="1:10" ht="16" thickBot="1">
      <c r="A11" s="193" t="s">
        <v>181</v>
      </c>
      <c r="B11" s="182"/>
      <c r="C11" s="205" t="s">
        <v>180</v>
      </c>
      <c r="D11" s="203" t="s">
        <v>179</v>
      </c>
      <c r="E11" s="182" t="s">
        <v>106</v>
      </c>
      <c r="F11" s="182"/>
      <c r="G11" s="182"/>
      <c r="H11" s="182"/>
      <c r="I11" s="182"/>
      <c r="J11" s="182"/>
    </row>
    <row r="12" spans="1:10" ht="16" thickBot="1">
      <c r="A12" s="200" t="s">
        <v>173</v>
      </c>
      <c r="B12" s="182"/>
      <c r="C12" s="206"/>
      <c r="D12" s="207" t="s">
        <v>172</v>
      </c>
      <c r="E12" s="182"/>
      <c r="F12" s="182"/>
      <c r="G12" s="182"/>
      <c r="H12" s="182"/>
      <c r="I12" s="182"/>
      <c r="J12" s="182"/>
    </row>
    <row r="13" spans="1:10" ht="16" thickBot="1">
      <c r="A13" s="193" t="s">
        <v>171</v>
      </c>
      <c r="B13" s="182"/>
      <c r="C13" s="206" t="s">
        <v>106</v>
      </c>
      <c r="D13" s="208" t="s">
        <v>106</v>
      </c>
      <c r="E13" s="182"/>
      <c r="F13" s="209" t="s">
        <v>170</v>
      </c>
      <c r="G13" s="182"/>
      <c r="H13" s="182"/>
      <c r="I13" s="182"/>
      <c r="J13" s="182"/>
    </row>
    <row r="14" spans="1:10" ht="16" thickBot="1">
      <c r="A14" s="210" t="s">
        <v>169</v>
      </c>
      <c r="B14" s="182"/>
      <c r="C14" s="206"/>
      <c r="D14" s="202" t="s">
        <v>187</v>
      </c>
      <c r="E14" s="182"/>
      <c r="F14" s="182"/>
      <c r="G14" s="182"/>
      <c r="H14" s="182"/>
      <c r="I14" s="182"/>
      <c r="J14" s="182"/>
    </row>
    <row r="15" spans="1:10" ht="12" customHeight="1">
      <c r="A15" s="211"/>
      <c r="B15" s="182"/>
      <c r="C15" s="206"/>
      <c r="D15" s="203" t="s">
        <v>188</v>
      </c>
      <c r="E15" s="182"/>
      <c r="F15" s="182"/>
      <c r="G15" s="182"/>
      <c r="H15" s="182"/>
      <c r="I15" s="182"/>
      <c r="J15" s="182"/>
    </row>
    <row r="16" spans="1:10" ht="15">
      <c r="A16" s="196" t="s">
        <v>178</v>
      </c>
      <c r="B16" s="182"/>
      <c r="C16" s="206"/>
      <c r="D16" s="203" t="s">
        <v>189</v>
      </c>
      <c r="E16" s="182" t="s">
        <v>106</v>
      </c>
      <c r="F16" s="182" t="s">
        <v>177</v>
      </c>
      <c r="G16" s="182"/>
      <c r="H16" s="182"/>
      <c r="I16" s="182"/>
      <c r="J16" s="182"/>
    </row>
    <row r="17" spans="1:10" ht="15">
      <c r="A17" s="211"/>
      <c r="B17" s="182"/>
      <c r="C17" s="206"/>
      <c r="D17" s="203" t="s">
        <v>190</v>
      </c>
      <c r="E17" s="182"/>
      <c r="F17" s="182" t="s">
        <v>106</v>
      </c>
      <c r="G17" s="182"/>
      <c r="H17" s="182"/>
      <c r="I17" s="182"/>
      <c r="J17" s="182"/>
    </row>
    <row r="18" spans="1:10" ht="15">
      <c r="A18" s="199" t="s">
        <v>176</v>
      </c>
      <c r="B18" s="182"/>
      <c r="C18" s="206"/>
      <c r="D18" s="203" t="s">
        <v>191</v>
      </c>
      <c r="E18" s="182"/>
      <c r="F18" s="212" t="s">
        <v>241</v>
      </c>
      <c r="G18" s="182"/>
      <c r="H18" s="182"/>
      <c r="I18" s="182"/>
      <c r="J18" s="182"/>
    </row>
    <row r="19" spans="1:10" ht="16" thickBot="1">
      <c r="A19" s="211"/>
      <c r="B19" s="182"/>
      <c r="C19" s="206"/>
      <c r="D19" s="207" t="s">
        <v>106</v>
      </c>
      <c r="E19" s="182"/>
      <c r="F19" s="213" t="s">
        <v>168</v>
      </c>
      <c r="G19" s="182"/>
      <c r="H19" s="182"/>
      <c r="I19" s="182"/>
      <c r="J19" s="182"/>
    </row>
    <row r="20" spans="1:10" ht="16" thickBot="1">
      <c r="A20" s="182"/>
      <c r="B20" s="182"/>
      <c r="C20" s="214" t="s">
        <v>167</v>
      </c>
      <c r="D20" s="215" t="s">
        <v>166</v>
      </c>
      <c r="E20" s="182"/>
      <c r="F20" s="216" t="s">
        <v>165</v>
      </c>
      <c r="G20" s="182"/>
      <c r="H20" s="182"/>
      <c r="I20" s="182"/>
      <c r="J20" s="182"/>
    </row>
    <row r="21" spans="1:10" ht="15">
      <c r="A21" s="182"/>
      <c r="B21" s="182"/>
      <c r="C21" s="182"/>
      <c r="D21" s="182"/>
      <c r="E21" s="182"/>
      <c r="F21" s="182"/>
      <c r="G21" s="182"/>
      <c r="H21" s="182"/>
      <c r="I21" s="182"/>
      <c r="J21" s="182"/>
    </row>
    <row r="22" spans="1:10" ht="15">
      <c r="A22" s="182"/>
      <c r="B22" s="182"/>
      <c r="C22" s="182"/>
      <c r="D22" s="182"/>
      <c r="E22" s="182"/>
      <c r="F22" s="182"/>
      <c r="G22" s="182"/>
      <c r="H22" s="182"/>
      <c r="I22" s="182"/>
      <c r="J22" s="182"/>
    </row>
    <row r="23" spans="1:10" ht="15">
      <c r="A23" s="182"/>
      <c r="B23" s="182"/>
      <c r="C23" s="182"/>
      <c r="D23" s="182"/>
      <c r="E23" s="182"/>
      <c r="F23" s="182"/>
      <c r="G23" s="182"/>
      <c r="H23" s="182"/>
      <c r="I23" s="182"/>
      <c r="J23" s="182"/>
    </row>
    <row r="24" spans="1:10" ht="15">
      <c r="A24" s="182"/>
      <c r="B24" s="182"/>
      <c r="C24" s="182"/>
      <c r="D24" s="182"/>
      <c r="E24" s="182"/>
      <c r="F24" s="182"/>
      <c r="G24" s="182"/>
      <c r="H24" s="182"/>
      <c r="I24" s="182"/>
      <c r="J24" s="182"/>
    </row>
    <row r="25" spans="1:10" ht="15">
      <c r="A25" s="182"/>
      <c r="B25" s="182"/>
      <c r="C25" s="182"/>
      <c r="D25" s="182"/>
      <c r="E25" s="182"/>
      <c r="F25" s="182"/>
      <c r="G25" s="182"/>
      <c r="H25" s="182"/>
      <c r="I25" s="182"/>
      <c r="J25" s="182"/>
    </row>
    <row r="26" spans="1:10" ht="15">
      <c r="A26" s="182"/>
      <c r="B26" s="182"/>
      <c r="C26" s="182"/>
      <c r="D26" s="182"/>
      <c r="E26" s="182"/>
      <c r="F26" s="182"/>
      <c r="G26" s="182"/>
      <c r="H26" s="182"/>
      <c r="I26" s="182"/>
      <c r="J26" s="182"/>
    </row>
    <row r="27" spans="1:10" ht="15">
      <c r="A27" s="182"/>
      <c r="B27" s="182"/>
      <c r="C27" s="182"/>
      <c r="D27" s="182"/>
      <c r="E27" s="182"/>
      <c r="F27" s="182"/>
      <c r="G27" s="182"/>
      <c r="H27" s="182"/>
      <c r="I27" s="182"/>
      <c r="J27" s="182"/>
    </row>
    <row r="28" spans="1:10" ht="15">
      <c r="A28" s="182"/>
      <c r="B28" s="182"/>
      <c r="C28" s="182"/>
      <c r="D28" s="182"/>
      <c r="E28" s="182"/>
      <c r="F28" s="182"/>
      <c r="G28" s="182"/>
      <c r="H28" s="182"/>
      <c r="I28" s="182"/>
      <c r="J28" s="182"/>
    </row>
    <row r="29" spans="1:10" ht="15">
      <c r="A29" s="182"/>
      <c r="B29" s="182"/>
      <c r="C29" s="182"/>
      <c r="D29" s="182"/>
      <c r="E29" s="182"/>
      <c r="F29" s="182"/>
      <c r="G29" s="182"/>
      <c r="H29" s="182"/>
      <c r="I29" s="182"/>
      <c r="J29" s="182"/>
    </row>
    <row r="30" spans="1:10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>
      <c r="A37" s="14"/>
      <c r="B37" s="14"/>
      <c r="C37" s="14"/>
      <c r="D37" s="14"/>
      <c r="E37" s="14"/>
      <c r="F37" s="14"/>
      <c r="G37" s="14"/>
      <c r="H37" s="14"/>
      <c r="I37" s="14"/>
      <c r="J37" s="14"/>
    </row>
  </sheetData>
  <phoneticPr fontId="8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workbookViewId="0"/>
  </sheetViews>
  <sheetFormatPr baseColWidth="10" defaultColWidth="8.83203125" defaultRowHeight="12" x14ac:dyDescent="0"/>
  <cols>
    <col min="1" max="1" width="16.6640625" style="3" customWidth="1"/>
    <col min="2" max="2" width="3.5" style="3" customWidth="1"/>
    <col min="3" max="3" width="18.5" style="3" customWidth="1"/>
    <col min="4" max="4" width="19.1640625" style="3" customWidth="1"/>
    <col min="5" max="5" width="17.5" style="3" customWidth="1"/>
    <col min="6" max="16384" width="8.83203125" style="3"/>
  </cols>
  <sheetData>
    <row r="1" spans="1:18">
      <c r="A1" s="61" t="s">
        <v>164</v>
      </c>
      <c r="B1" s="60"/>
      <c r="D1" s="6"/>
      <c r="E1" s="6"/>
      <c r="F1" s="59" t="s">
        <v>163</v>
      </c>
      <c r="G1" s="59"/>
      <c r="H1" s="58" t="s">
        <v>162</v>
      </c>
      <c r="I1" s="57"/>
      <c r="J1" s="6"/>
      <c r="K1" s="6"/>
      <c r="L1" s="6"/>
      <c r="M1" s="4"/>
      <c r="N1" s="4"/>
      <c r="O1" s="4"/>
      <c r="P1" s="4"/>
      <c r="Q1" s="4"/>
      <c r="R1" s="4"/>
    </row>
    <row r="2" spans="1:18">
      <c r="A2" s="50" t="s">
        <v>153</v>
      </c>
      <c r="B2" s="5"/>
      <c r="C2" s="6"/>
      <c r="D2" s="6"/>
      <c r="E2" s="6"/>
      <c r="F2" s="6"/>
      <c r="G2" s="46" t="s">
        <v>152</v>
      </c>
      <c r="H2" s="56"/>
      <c r="I2" s="55"/>
      <c r="J2" s="14"/>
      <c r="K2" s="14"/>
      <c r="L2" s="14"/>
      <c r="M2" s="4"/>
      <c r="N2" s="4"/>
      <c r="O2" s="4"/>
      <c r="P2" s="4"/>
      <c r="Q2" s="4"/>
      <c r="R2" s="4"/>
    </row>
    <row r="3" spans="1:18" ht="13" thickBot="1">
      <c r="A3" s="45" t="s">
        <v>151</v>
      </c>
      <c r="B3" s="5"/>
      <c r="C3" s="6"/>
      <c r="D3" s="54" t="s">
        <v>150</v>
      </c>
      <c r="E3" s="54" t="s">
        <v>149</v>
      </c>
      <c r="F3" s="46" t="s">
        <v>161</v>
      </c>
      <c r="G3" s="6"/>
      <c r="H3" s="53"/>
      <c r="I3" s="52"/>
      <c r="J3" s="14"/>
      <c r="K3" s="14"/>
      <c r="L3" s="14"/>
      <c r="M3" s="4"/>
      <c r="N3" s="4"/>
      <c r="O3" s="4"/>
      <c r="P3" s="4"/>
      <c r="Q3" s="4"/>
      <c r="R3" s="4"/>
    </row>
    <row r="4" spans="1:18" ht="13" thickBot="1">
      <c r="A4" s="51" t="s">
        <v>160</v>
      </c>
      <c r="B4" s="5"/>
      <c r="C4" s="6"/>
      <c r="D4" s="6"/>
      <c r="E4" s="6"/>
      <c r="F4" s="6"/>
      <c r="G4" s="6"/>
      <c r="H4" s="14"/>
      <c r="I4" s="14"/>
      <c r="J4" s="6"/>
      <c r="K4" s="6"/>
      <c r="L4" s="6"/>
      <c r="M4" s="4"/>
      <c r="N4" s="4"/>
      <c r="O4" s="4"/>
      <c r="P4" s="4"/>
      <c r="Q4" s="4"/>
      <c r="R4" s="4"/>
    </row>
    <row r="5" spans="1:18" ht="13" thickBot="1">
      <c r="A5" s="50" t="s">
        <v>159</v>
      </c>
      <c r="B5" s="5"/>
      <c r="C5" s="49" t="s">
        <v>158</v>
      </c>
      <c r="D5" s="48" t="s">
        <v>157</v>
      </c>
      <c r="E5" s="47"/>
      <c r="F5" s="6"/>
      <c r="G5" s="46" t="s">
        <v>156</v>
      </c>
      <c r="H5" s="34"/>
      <c r="I5" s="6"/>
      <c r="J5" s="6"/>
      <c r="K5" s="6"/>
      <c r="L5" s="6"/>
      <c r="M5" s="4"/>
      <c r="N5" s="4"/>
      <c r="O5" s="4"/>
      <c r="P5" s="4"/>
      <c r="Q5" s="4"/>
      <c r="R5" s="4"/>
    </row>
    <row r="6" spans="1:18">
      <c r="A6" s="45" t="s">
        <v>155</v>
      </c>
      <c r="B6" s="5"/>
      <c r="C6" s="6"/>
      <c r="D6" s="44"/>
      <c r="E6" s="44"/>
      <c r="F6" s="6"/>
      <c r="G6" s="6"/>
      <c r="H6" s="43" t="s">
        <v>154</v>
      </c>
      <c r="I6" s="42"/>
      <c r="J6" s="6"/>
      <c r="K6" s="6"/>
      <c r="L6" s="6"/>
      <c r="M6" s="4"/>
      <c r="N6" s="4"/>
      <c r="O6" s="4"/>
      <c r="P6" s="4"/>
      <c r="Q6" s="4"/>
      <c r="R6" s="4"/>
    </row>
    <row r="7" spans="1:18">
      <c r="A7" s="41" t="s">
        <v>251</v>
      </c>
      <c r="B7" s="5"/>
      <c r="C7" s="6"/>
      <c r="D7" s="35"/>
      <c r="E7" s="35"/>
      <c r="F7" s="6"/>
      <c r="G7" s="6"/>
      <c r="H7" s="40"/>
      <c r="I7" s="39"/>
      <c r="J7" s="6"/>
      <c r="K7" s="6"/>
      <c r="L7" s="6"/>
      <c r="M7" s="4"/>
      <c r="N7" s="4"/>
      <c r="O7" s="4"/>
      <c r="P7" s="4"/>
      <c r="Q7" s="4"/>
      <c r="R7" s="4"/>
    </row>
    <row r="8" spans="1:18" ht="13" thickBot="1">
      <c r="A8" s="38"/>
      <c r="B8" s="38"/>
      <c r="C8" s="6"/>
      <c r="D8" s="35"/>
      <c r="E8" s="35"/>
      <c r="F8" s="6"/>
      <c r="G8" s="6"/>
      <c r="H8" s="37"/>
      <c r="I8" s="36"/>
      <c r="J8" s="6"/>
      <c r="K8" s="6"/>
      <c r="L8" s="6"/>
      <c r="M8" s="4"/>
      <c r="N8" s="4"/>
      <c r="O8" s="4"/>
      <c r="P8" s="4"/>
      <c r="Q8" s="4"/>
      <c r="R8" s="4"/>
    </row>
    <row r="9" spans="1:18" ht="13" thickBot="1">
      <c r="A9" s="5"/>
      <c r="B9" s="5"/>
      <c r="C9" s="6"/>
      <c r="D9" s="35"/>
      <c r="E9" s="35"/>
      <c r="F9" s="6"/>
      <c r="G9" s="6"/>
      <c r="H9" s="6"/>
      <c r="I9" s="34"/>
      <c r="J9" s="6"/>
      <c r="K9" s="6"/>
      <c r="L9" s="6"/>
      <c r="M9" s="4"/>
      <c r="N9" s="4"/>
      <c r="O9" s="4"/>
      <c r="P9" s="4"/>
      <c r="Q9" s="4"/>
      <c r="R9" s="4"/>
    </row>
    <row r="10" spans="1:18" ht="13" thickBot="1">
      <c r="A10" s="5"/>
      <c r="B10" s="5"/>
      <c r="C10" s="6"/>
      <c r="D10" s="33"/>
      <c r="E10" s="33"/>
      <c r="F10" s="6"/>
      <c r="G10" s="32" t="s">
        <v>250</v>
      </c>
      <c r="H10" s="31" t="s">
        <v>249</v>
      </c>
      <c r="I10" s="31" t="s">
        <v>248</v>
      </c>
      <c r="J10" s="31" t="s">
        <v>247</v>
      </c>
      <c r="K10" s="31" t="s">
        <v>246</v>
      </c>
      <c r="L10" s="30" t="s">
        <v>245</v>
      </c>
      <c r="M10" s="4"/>
      <c r="N10" s="4"/>
      <c r="O10" s="4"/>
      <c r="P10" s="4"/>
      <c r="Q10" s="4"/>
      <c r="R10" s="4"/>
    </row>
    <row r="11" spans="1:18">
      <c r="A11" s="5"/>
      <c r="B11" s="5"/>
      <c r="C11" s="6"/>
      <c r="D11" s="6"/>
      <c r="E11" s="6"/>
      <c r="F11" s="6"/>
      <c r="G11" s="29"/>
      <c r="H11" s="28"/>
      <c r="I11" s="28"/>
      <c r="J11" s="28"/>
      <c r="K11" s="28"/>
      <c r="L11" s="27"/>
      <c r="M11" s="4"/>
      <c r="N11" s="4"/>
      <c r="O11" s="4"/>
      <c r="P11" s="4"/>
      <c r="Q11" s="4"/>
      <c r="R11" s="4"/>
    </row>
    <row r="12" spans="1:18">
      <c r="A12" s="5"/>
      <c r="B12" s="5"/>
      <c r="C12" s="6"/>
      <c r="D12" s="6"/>
      <c r="E12" s="6"/>
      <c r="F12" s="6"/>
      <c r="G12" s="29" t="s">
        <v>106</v>
      </c>
      <c r="H12" s="28"/>
      <c r="I12" s="28"/>
      <c r="J12" s="28"/>
      <c r="K12" s="28"/>
      <c r="L12" s="27"/>
      <c r="M12" s="4"/>
      <c r="N12" s="4"/>
      <c r="O12" s="4"/>
      <c r="P12" s="4"/>
      <c r="Q12" s="4"/>
      <c r="R12" s="4"/>
    </row>
    <row r="13" spans="1:18">
      <c r="A13" s="5"/>
      <c r="B13" s="5"/>
      <c r="C13" s="6"/>
      <c r="D13" s="6"/>
      <c r="E13" s="6"/>
      <c r="F13" s="6"/>
      <c r="G13" s="29"/>
      <c r="H13" s="28"/>
      <c r="I13" s="28"/>
      <c r="J13" s="28"/>
      <c r="K13" s="28"/>
      <c r="L13" s="27"/>
      <c r="M13" s="4"/>
      <c r="N13" s="4"/>
      <c r="O13" s="4"/>
      <c r="P13" s="4"/>
      <c r="Q13" s="4"/>
      <c r="R13" s="4"/>
    </row>
    <row r="14" spans="1:18" ht="13" thickBot="1">
      <c r="A14" s="5"/>
      <c r="B14" s="5"/>
      <c r="C14" s="6"/>
      <c r="D14" s="6"/>
      <c r="E14" s="6"/>
      <c r="F14" s="6"/>
      <c r="G14" s="26"/>
      <c r="H14" s="25"/>
      <c r="I14" s="25"/>
      <c r="J14" s="25"/>
      <c r="K14" s="25"/>
      <c r="L14" s="24"/>
      <c r="M14" s="4"/>
      <c r="N14" s="4"/>
      <c r="O14" s="4"/>
      <c r="P14" s="4"/>
      <c r="Q14" s="4"/>
      <c r="R14" s="4"/>
    </row>
    <row r="15" spans="1:18">
      <c r="A15" s="5"/>
      <c r="B15" s="5"/>
      <c r="C15" s="23" t="s">
        <v>244</v>
      </c>
      <c r="D15" s="22" t="s">
        <v>243</v>
      </c>
      <c r="E15" s="21"/>
      <c r="F15" s="6"/>
      <c r="G15" s="6"/>
      <c r="H15" s="6"/>
      <c r="I15" s="6"/>
      <c r="J15" s="6"/>
      <c r="K15" s="6"/>
      <c r="L15" s="6"/>
      <c r="M15" s="4"/>
      <c r="N15" s="4"/>
      <c r="O15" s="4"/>
      <c r="P15" s="4"/>
      <c r="Q15" s="4"/>
      <c r="R15" s="4"/>
    </row>
    <row r="16" spans="1:18">
      <c r="A16" s="14"/>
      <c r="B16" s="14"/>
      <c r="C16" s="6"/>
      <c r="D16" s="20"/>
      <c r="E16" s="19"/>
      <c r="F16" s="6"/>
      <c r="G16" s="6"/>
      <c r="H16" s="6"/>
      <c r="I16" s="6"/>
      <c r="J16" s="6"/>
      <c r="K16" s="6"/>
      <c r="L16" s="6"/>
      <c r="M16" s="4"/>
      <c r="N16" s="4"/>
      <c r="O16" s="4"/>
      <c r="P16" s="4"/>
      <c r="Q16" s="4"/>
      <c r="R16" s="4"/>
    </row>
    <row r="17" spans="1:18">
      <c r="A17" s="14"/>
      <c r="B17" s="14"/>
      <c r="C17" s="6"/>
      <c r="D17" s="20"/>
      <c r="E17" s="19"/>
      <c r="F17" s="6"/>
      <c r="G17" s="6"/>
      <c r="H17" s="6"/>
      <c r="I17" s="6"/>
      <c r="J17" s="6"/>
      <c r="K17" s="6"/>
      <c r="L17" s="6"/>
      <c r="M17" s="4"/>
      <c r="N17" s="4"/>
      <c r="O17" s="4"/>
      <c r="P17" s="4"/>
      <c r="Q17" s="4"/>
      <c r="R17" s="4"/>
    </row>
    <row r="18" spans="1:18">
      <c r="A18" s="14"/>
      <c r="B18" s="14"/>
      <c r="C18" s="6"/>
      <c r="D18" s="20"/>
      <c r="E18" s="19"/>
      <c r="F18" s="6"/>
      <c r="G18" s="6"/>
      <c r="H18" s="6"/>
      <c r="I18" s="6"/>
      <c r="J18" s="6"/>
      <c r="K18" s="6"/>
      <c r="L18" s="6"/>
      <c r="M18" s="4"/>
      <c r="N18" s="4"/>
      <c r="O18" s="4"/>
      <c r="P18" s="4"/>
      <c r="Q18" s="4"/>
      <c r="R18" s="4"/>
    </row>
    <row r="19" spans="1:18">
      <c r="A19" s="14"/>
      <c r="B19" s="14"/>
      <c r="C19" s="6"/>
      <c r="D19" s="20"/>
      <c r="E19" s="19"/>
      <c r="F19" s="6"/>
      <c r="G19" s="6"/>
      <c r="H19" s="6"/>
      <c r="I19" s="6"/>
      <c r="J19" s="6"/>
      <c r="K19" s="6"/>
      <c r="L19" s="6"/>
      <c r="M19" s="4"/>
      <c r="N19" s="4"/>
      <c r="O19" s="4"/>
      <c r="P19" s="4"/>
      <c r="Q19" s="4"/>
      <c r="R19" s="4"/>
    </row>
    <row r="20" spans="1:18" ht="13" thickBot="1">
      <c r="A20" s="14"/>
      <c r="B20" s="14"/>
      <c r="C20" s="6"/>
      <c r="D20" s="18"/>
      <c r="E20" s="17"/>
      <c r="F20" s="6"/>
      <c r="G20" s="6"/>
      <c r="H20" s="6"/>
      <c r="I20" s="6"/>
      <c r="J20" s="6"/>
      <c r="K20" s="6"/>
      <c r="L20" s="6"/>
      <c r="M20" s="4"/>
      <c r="N20" s="4"/>
      <c r="O20" s="4"/>
      <c r="P20" s="4"/>
      <c r="Q20" s="4"/>
      <c r="R20" s="4"/>
    </row>
    <row r="21" spans="1:18">
      <c r="A21" s="4"/>
      <c r="B21" s="14"/>
      <c r="C21" s="6"/>
      <c r="D21" s="6"/>
      <c r="E21" s="6"/>
      <c r="F21" s="6"/>
      <c r="G21" s="16" t="s">
        <v>242</v>
      </c>
      <c r="H21" s="15"/>
      <c r="I21" s="6"/>
      <c r="J21" s="6"/>
      <c r="K21" s="6"/>
      <c r="L21" s="6"/>
      <c r="M21" s="4"/>
      <c r="N21" s="4"/>
      <c r="O21" s="4"/>
      <c r="P21" s="4"/>
      <c r="Q21" s="4"/>
      <c r="R21" s="4"/>
    </row>
    <row r="22" spans="1:18">
      <c r="A22" s="4"/>
      <c r="B22" s="14"/>
      <c r="C22" s="6"/>
      <c r="D22" s="6"/>
      <c r="E22" s="6"/>
      <c r="F22" s="6"/>
      <c r="G22" s="10"/>
      <c r="H22" s="9"/>
      <c r="I22" s="6"/>
      <c r="J22" s="6"/>
      <c r="K22" s="6"/>
      <c r="L22" s="6"/>
      <c r="M22" s="4"/>
      <c r="N22" s="4"/>
      <c r="O22" s="4"/>
      <c r="P22" s="4"/>
      <c r="Q22" s="4"/>
      <c r="R22" s="4"/>
    </row>
    <row r="23" spans="1:18">
      <c r="A23" s="4"/>
      <c r="C23" s="6"/>
      <c r="D23" s="6"/>
      <c r="E23" s="6"/>
      <c r="F23" s="6"/>
      <c r="G23" s="10"/>
      <c r="H23" s="9"/>
      <c r="I23" s="6"/>
      <c r="J23" s="6"/>
      <c r="K23" s="6"/>
      <c r="L23" s="6"/>
      <c r="M23" s="4"/>
      <c r="N23" s="4"/>
      <c r="O23" s="4"/>
      <c r="P23" s="4"/>
      <c r="Q23" s="4"/>
      <c r="R23" s="4"/>
    </row>
    <row r="24" spans="1:18" ht="13" thickBot="1">
      <c r="A24" s="4"/>
      <c r="B24" s="14"/>
      <c r="C24" s="6"/>
      <c r="D24" s="6"/>
      <c r="E24" s="6"/>
      <c r="F24" s="6"/>
      <c r="G24" s="8"/>
      <c r="H24" s="7"/>
      <c r="I24" s="6"/>
      <c r="J24" s="6"/>
      <c r="K24" s="6"/>
      <c r="L24" s="6"/>
      <c r="M24" s="4"/>
      <c r="N24" s="4"/>
      <c r="O24" s="4"/>
      <c r="P24" s="4"/>
      <c r="Q24" s="4"/>
      <c r="R24" s="4"/>
    </row>
    <row r="25" spans="1:18">
      <c r="A25" s="4"/>
      <c r="B25" s="14"/>
      <c r="C25" s="13" t="s">
        <v>241</v>
      </c>
      <c r="D25" s="12" t="s">
        <v>232</v>
      </c>
      <c r="E25" s="11"/>
      <c r="F25" s="6"/>
      <c r="G25" s="6"/>
      <c r="H25" s="6"/>
      <c r="I25" s="6"/>
      <c r="J25" s="6"/>
      <c r="K25" s="6"/>
      <c r="L25" s="6"/>
      <c r="M25" s="4"/>
      <c r="N25" s="4"/>
      <c r="O25" s="4"/>
      <c r="P25" s="4"/>
      <c r="Q25" s="4"/>
      <c r="R25" s="4"/>
    </row>
    <row r="26" spans="1:18">
      <c r="A26" s="4"/>
      <c r="C26" s="6"/>
      <c r="D26" s="10"/>
      <c r="E26" s="9"/>
      <c r="F26" s="6"/>
      <c r="G26" s="6"/>
      <c r="H26" s="6"/>
      <c r="I26" s="6"/>
      <c r="J26" s="6"/>
      <c r="K26" s="6"/>
      <c r="L26" s="6"/>
      <c r="M26" s="4"/>
      <c r="N26" s="4"/>
      <c r="O26" s="4"/>
      <c r="P26" s="4"/>
      <c r="Q26" s="4"/>
      <c r="R26" s="4"/>
    </row>
    <row r="27" spans="1:18">
      <c r="A27" s="5"/>
      <c r="B27" s="6"/>
      <c r="C27" s="6"/>
      <c r="D27" s="10"/>
      <c r="E27" s="9"/>
      <c r="F27" s="6"/>
      <c r="G27" s="6"/>
      <c r="H27" s="6"/>
      <c r="I27" s="6"/>
      <c r="J27" s="6"/>
      <c r="K27" s="6"/>
      <c r="L27" s="6"/>
      <c r="M27" s="4"/>
      <c r="N27" s="4"/>
      <c r="O27" s="4"/>
      <c r="P27" s="4"/>
      <c r="Q27" s="4"/>
      <c r="R27" s="4"/>
    </row>
    <row r="28" spans="1:18" ht="13" thickBot="1">
      <c r="A28" s="6"/>
      <c r="B28" s="6"/>
      <c r="C28" s="6"/>
      <c r="D28" s="8"/>
      <c r="E28" s="7"/>
      <c r="F28" s="6"/>
      <c r="G28" s="6"/>
      <c r="H28" s="6"/>
      <c r="I28" s="6"/>
      <c r="J28" s="6"/>
      <c r="K28" s="6"/>
      <c r="L28" s="6"/>
      <c r="M28" s="4"/>
      <c r="N28" s="4"/>
      <c r="O28" s="4"/>
      <c r="P28" s="4"/>
      <c r="Q28" s="4"/>
      <c r="R28" s="4"/>
    </row>
    <row r="29" spans="1:18" ht="13" thickBo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4"/>
      <c r="N29" s="4"/>
      <c r="O29" s="4"/>
      <c r="P29" s="4"/>
      <c r="Q29" s="4"/>
      <c r="R29" s="4"/>
    </row>
    <row r="30" spans="1:18">
      <c r="A30" s="6"/>
      <c r="B30" s="6"/>
      <c r="C30" s="6"/>
      <c r="D30" s="12" t="s">
        <v>108</v>
      </c>
      <c r="E30" s="11"/>
      <c r="F30" s="6"/>
      <c r="G30" s="6"/>
      <c r="H30" s="6"/>
      <c r="I30" s="6"/>
      <c r="J30" s="6"/>
      <c r="K30" s="6"/>
      <c r="L30" s="6"/>
      <c r="M30" s="4"/>
      <c r="N30" s="4"/>
      <c r="O30" s="4"/>
      <c r="P30" s="4"/>
      <c r="Q30" s="4"/>
      <c r="R30" s="4"/>
    </row>
    <row r="31" spans="1:18">
      <c r="A31" s="6"/>
      <c r="B31" s="6"/>
      <c r="C31" s="6"/>
      <c r="D31" s="10"/>
      <c r="E31" s="9"/>
      <c r="F31" s="6"/>
      <c r="G31" s="6"/>
      <c r="H31" s="6"/>
      <c r="I31" s="6"/>
      <c r="J31" s="6"/>
      <c r="K31" s="6"/>
      <c r="L31" s="6"/>
      <c r="M31" s="4"/>
      <c r="N31" s="4"/>
      <c r="O31" s="4"/>
      <c r="P31" s="4"/>
      <c r="Q31" s="4"/>
      <c r="R31" s="4"/>
    </row>
    <row r="32" spans="1:18">
      <c r="A32" s="6"/>
      <c r="B32" s="6"/>
      <c r="C32" s="6"/>
      <c r="D32" s="10"/>
      <c r="E32" s="9"/>
      <c r="F32" s="6"/>
      <c r="G32" s="6"/>
      <c r="H32" s="6"/>
      <c r="I32" s="6"/>
      <c r="J32" s="6"/>
      <c r="K32" s="6"/>
      <c r="L32" s="6"/>
      <c r="M32" s="4"/>
      <c r="N32" s="4"/>
      <c r="O32" s="4"/>
      <c r="P32" s="4"/>
      <c r="Q32" s="4"/>
      <c r="R32" s="4"/>
    </row>
    <row r="33" spans="1:18" ht="13" thickBot="1">
      <c r="A33" s="6"/>
      <c r="B33" s="6"/>
      <c r="C33" s="6"/>
      <c r="D33" s="8"/>
      <c r="E33" s="7"/>
      <c r="F33" s="6"/>
      <c r="G33" s="6"/>
      <c r="H33" s="6"/>
      <c r="I33" s="6"/>
      <c r="J33" s="6"/>
      <c r="K33" s="6"/>
      <c r="L33" s="6"/>
      <c r="M33" s="4"/>
      <c r="N33" s="4"/>
      <c r="O33" s="4"/>
      <c r="P33" s="4"/>
      <c r="Q33" s="4"/>
      <c r="R33" s="4"/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4"/>
      <c r="N34" s="4"/>
      <c r="O34" s="4"/>
      <c r="P34" s="4"/>
      <c r="Q34" s="4"/>
      <c r="R34" s="4"/>
    </row>
    <row r="35" spans="1:18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</sheetData>
  <phoneticPr fontId="8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67"/>
  <sheetViews>
    <sheetView zoomScale="125" workbookViewId="0"/>
  </sheetViews>
  <sheetFormatPr baseColWidth="10" defaultColWidth="8.83203125" defaultRowHeight="14" x14ac:dyDescent="0"/>
  <cols>
    <col min="1" max="1" width="26.1640625" customWidth="1"/>
    <col min="2" max="2" width="10.1640625" customWidth="1"/>
    <col min="3" max="3" width="11.6640625" customWidth="1"/>
    <col min="4" max="4" width="11.33203125" customWidth="1"/>
    <col min="5" max="5" width="12.6640625" customWidth="1"/>
    <col min="6" max="6" width="29.83203125" customWidth="1"/>
    <col min="7" max="7" width="17.33203125" customWidth="1"/>
    <col min="8" max="8" width="13.5" customWidth="1"/>
  </cols>
  <sheetData>
    <row r="1" spans="1:7">
      <c r="A1" s="86" t="s">
        <v>68</v>
      </c>
    </row>
    <row r="3" spans="1:7">
      <c r="A3" s="267" t="s">
        <v>69</v>
      </c>
      <c r="B3" s="90"/>
    </row>
    <row r="5" spans="1:7">
      <c r="A5" t="s">
        <v>70</v>
      </c>
    </row>
    <row r="6" spans="1:7">
      <c r="A6" t="s">
        <v>71</v>
      </c>
    </row>
    <row r="8" spans="1:7">
      <c r="B8" s="294" t="s">
        <v>72</v>
      </c>
      <c r="C8" s="295"/>
      <c r="D8" s="296" t="s">
        <v>73</v>
      </c>
      <c r="E8" s="297"/>
    </row>
    <row r="9" spans="1:7">
      <c r="A9" s="298" t="s">
        <v>74</v>
      </c>
      <c r="B9" s="331">
        <v>0.06</v>
      </c>
      <c r="C9" s="332"/>
      <c r="D9" s="331">
        <v>0.08</v>
      </c>
      <c r="E9" s="287"/>
    </row>
    <row r="10" spans="1:7">
      <c r="A10" s="298" t="s">
        <v>75</v>
      </c>
      <c r="B10" s="331">
        <v>0.17</v>
      </c>
      <c r="C10" s="332"/>
      <c r="D10" s="331">
        <v>0.17</v>
      </c>
      <c r="E10" s="287"/>
    </row>
    <row r="11" spans="1:7">
      <c r="A11" s="298"/>
      <c r="B11" s="299"/>
      <c r="C11" s="300"/>
      <c r="D11" s="299"/>
      <c r="E11" s="287"/>
    </row>
    <row r="12" spans="1:7">
      <c r="A12" s="298" t="s">
        <v>456</v>
      </c>
      <c r="B12" s="301">
        <v>585</v>
      </c>
      <c r="C12" s="257"/>
      <c r="D12" s="301">
        <v>100</v>
      </c>
      <c r="E12" s="302"/>
    </row>
    <row r="13" spans="1:7">
      <c r="A13" s="298" t="s">
        <v>135</v>
      </c>
      <c r="B13" s="303">
        <v>348</v>
      </c>
      <c r="C13" s="257"/>
      <c r="D13" s="303">
        <v>833</v>
      </c>
      <c r="E13" s="302"/>
    </row>
    <row r="14" spans="1:7">
      <c r="A14" s="298" t="s">
        <v>457</v>
      </c>
      <c r="B14" s="298">
        <f>B12+B13</f>
        <v>933</v>
      </c>
      <c r="C14" s="257"/>
      <c r="D14" s="298">
        <f>D12+D13</f>
        <v>933</v>
      </c>
      <c r="E14" s="287"/>
    </row>
    <row r="15" spans="1:7">
      <c r="A15" s="298"/>
      <c r="B15" s="298"/>
      <c r="C15" s="257"/>
      <c r="D15" s="298"/>
      <c r="E15" s="287"/>
    </row>
    <row r="16" spans="1:7">
      <c r="A16" s="298" t="s">
        <v>458</v>
      </c>
      <c r="B16" s="301">
        <v>86</v>
      </c>
      <c r="C16" s="257"/>
      <c r="D16" s="301">
        <v>86</v>
      </c>
      <c r="E16" s="302"/>
      <c r="G16" s="304" t="s">
        <v>106</v>
      </c>
    </row>
    <row r="17" spans="1:8">
      <c r="A17" s="298" t="s">
        <v>459</v>
      </c>
      <c r="B17" s="305">
        <f>B9*B12</f>
        <v>35.1</v>
      </c>
      <c r="C17" s="257" t="s">
        <v>396</v>
      </c>
      <c r="D17" s="305">
        <f>D9*D12</f>
        <v>8</v>
      </c>
      <c r="E17" s="287"/>
    </row>
    <row r="18" spans="1:8">
      <c r="A18" s="298" t="s">
        <v>147</v>
      </c>
      <c r="B18" s="298">
        <f>B16-B17</f>
        <v>50.9</v>
      </c>
      <c r="C18" s="257" t="s">
        <v>396</v>
      </c>
      <c r="D18" s="298">
        <f>D16-D17</f>
        <v>78</v>
      </c>
      <c r="E18" s="287"/>
    </row>
    <row r="19" spans="1:8">
      <c r="A19" s="298" t="s">
        <v>76</v>
      </c>
      <c r="B19" s="333">
        <f>B10*B18</f>
        <v>8.6530000000000005</v>
      </c>
      <c r="C19" s="334" t="s">
        <v>396</v>
      </c>
      <c r="D19" s="333">
        <f>D10*D18</f>
        <v>13.260000000000002</v>
      </c>
      <c r="E19" s="287"/>
    </row>
    <row r="20" spans="1:8">
      <c r="A20" s="298" t="s">
        <v>145</v>
      </c>
      <c r="B20" s="335">
        <f>B18-B19</f>
        <v>42.247</v>
      </c>
      <c r="C20" s="334"/>
      <c r="D20" s="335">
        <f>D18-D19</f>
        <v>64.739999999999995</v>
      </c>
      <c r="E20" s="287"/>
    </row>
    <row r="21" spans="1:8">
      <c r="A21" s="298"/>
      <c r="B21" s="298"/>
      <c r="C21" s="257"/>
      <c r="D21" s="298"/>
      <c r="E21" s="287"/>
    </row>
    <row r="22" spans="1:8">
      <c r="A22" s="298"/>
      <c r="B22" s="306" t="s">
        <v>460</v>
      </c>
      <c r="C22" s="169" t="s">
        <v>461</v>
      </c>
      <c r="D22" s="306" t="s">
        <v>460</v>
      </c>
      <c r="E22" s="307" t="s">
        <v>461</v>
      </c>
      <c r="G22" s="308" t="s">
        <v>462</v>
      </c>
      <c r="H22" s="308" t="s">
        <v>463</v>
      </c>
    </row>
    <row r="23" spans="1:8">
      <c r="A23" s="298" t="s">
        <v>464</v>
      </c>
      <c r="B23" s="336">
        <f>B20/B13</f>
        <v>0.12139942528735632</v>
      </c>
      <c r="C23" s="337" t="s">
        <v>44</v>
      </c>
      <c r="D23" s="336">
        <f>D20/D13</f>
        <v>7.7719087635054016E-2</v>
      </c>
      <c r="E23" s="338" t="s">
        <v>45</v>
      </c>
      <c r="F23" t="s">
        <v>465</v>
      </c>
      <c r="G23" t="s">
        <v>145</v>
      </c>
      <c r="H23" t="s">
        <v>466</v>
      </c>
    </row>
    <row r="24" spans="1:8">
      <c r="A24" s="298" t="s">
        <v>467</v>
      </c>
      <c r="B24" s="336">
        <f>B20/B14</f>
        <v>4.5280814576634514E-2</v>
      </c>
      <c r="C24" s="337" t="s">
        <v>46</v>
      </c>
      <c r="D24" s="336">
        <f>D20/D14</f>
        <v>6.938906752411575E-2</v>
      </c>
      <c r="E24" s="338" t="s">
        <v>47</v>
      </c>
      <c r="F24" t="s">
        <v>468</v>
      </c>
      <c r="G24" t="s">
        <v>145</v>
      </c>
      <c r="H24" t="s">
        <v>469</v>
      </c>
    </row>
    <row r="25" spans="1:8">
      <c r="A25" s="305" t="s">
        <v>470</v>
      </c>
      <c r="B25" s="339">
        <f>B16*(1-B10)/B14</f>
        <v>7.6505894962486595E-2</v>
      </c>
      <c r="C25" s="340" t="s">
        <v>48</v>
      </c>
      <c r="D25" s="339">
        <f>D16*(1-D10)/D14</f>
        <v>7.6505894962486595E-2</v>
      </c>
      <c r="E25" s="341" t="s">
        <v>48</v>
      </c>
      <c r="F25" t="s">
        <v>471</v>
      </c>
      <c r="G25" t="s">
        <v>472</v>
      </c>
      <c r="H25" t="s">
        <v>469</v>
      </c>
    </row>
    <row r="27" spans="1:8" ht="15" thickBot="1">
      <c r="A27" s="309" t="s">
        <v>49</v>
      </c>
      <c r="B27" s="90"/>
      <c r="C27" s="90"/>
      <c r="D27" s="90"/>
      <c r="E27" s="90"/>
      <c r="F27" s="90"/>
    </row>
    <row r="28" spans="1:8">
      <c r="A28" s="342" t="s">
        <v>382</v>
      </c>
      <c r="B28" s="343"/>
      <c r="C28" s="343"/>
      <c r="D28" s="343"/>
      <c r="E28" s="343"/>
      <c r="F28" s="343"/>
      <c r="G28" s="255"/>
    </row>
    <row r="29" spans="1:8">
      <c r="A29" s="344" t="s">
        <v>383</v>
      </c>
      <c r="B29" s="345"/>
      <c r="C29" s="345"/>
      <c r="D29" s="345"/>
      <c r="E29" s="345"/>
      <c r="F29" s="345"/>
      <c r="G29" s="258"/>
    </row>
    <row r="30" spans="1:8">
      <c r="A30" s="346" t="s">
        <v>396</v>
      </c>
      <c r="B30" s="345"/>
      <c r="C30" s="345"/>
      <c r="D30" s="345"/>
      <c r="E30" s="345"/>
      <c r="F30" s="345"/>
      <c r="G30" s="258"/>
    </row>
    <row r="31" spans="1:8">
      <c r="A31" s="344"/>
      <c r="B31" s="345"/>
      <c r="C31" s="345"/>
      <c r="D31" s="345"/>
      <c r="E31" s="345"/>
      <c r="F31" s="345"/>
      <c r="G31" s="258"/>
    </row>
    <row r="32" spans="1:8">
      <c r="A32" s="344" t="s">
        <v>486</v>
      </c>
      <c r="B32" s="345"/>
      <c r="C32" s="345"/>
      <c r="D32" s="345"/>
      <c r="E32" s="345"/>
      <c r="F32" s="345"/>
      <c r="G32" s="258"/>
    </row>
    <row r="33" spans="1:12">
      <c r="A33" s="344" t="s">
        <v>487</v>
      </c>
      <c r="B33" s="345"/>
      <c r="C33" s="345"/>
      <c r="D33" s="345"/>
      <c r="E33" s="345"/>
      <c r="F33" s="345"/>
      <c r="G33" s="258"/>
    </row>
    <row r="34" spans="1:12">
      <c r="A34" s="344" t="s">
        <v>50</v>
      </c>
      <c r="B34" s="345"/>
      <c r="C34" s="345"/>
      <c r="D34" s="345"/>
      <c r="E34" s="345"/>
      <c r="F34" s="345"/>
      <c r="G34" s="258"/>
      <c r="L34" t="s">
        <v>51</v>
      </c>
    </row>
    <row r="35" spans="1:12">
      <c r="A35" s="344" t="s">
        <v>52</v>
      </c>
      <c r="B35" s="345"/>
      <c r="C35" s="345"/>
      <c r="D35" s="345"/>
      <c r="E35" s="345"/>
      <c r="F35" s="345"/>
      <c r="G35" s="258"/>
    </row>
    <row r="36" spans="1:12">
      <c r="A36" s="344" t="s">
        <v>453</v>
      </c>
      <c r="B36" s="345"/>
      <c r="C36" s="345"/>
      <c r="D36" s="345"/>
      <c r="E36" s="345"/>
      <c r="F36" s="345"/>
      <c r="G36" s="258"/>
      <c r="L36" t="s">
        <v>53</v>
      </c>
    </row>
    <row r="37" spans="1:12" ht="15" thickBot="1">
      <c r="A37" s="347" t="s">
        <v>54</v>
      </c>
      <c r="B37" s="348"/>
      <c r="C37" s="348"/>
      <c r="D37" s="348"/>
      <c r="E37" s="348"/>
      <c r="F37" s="348"/>
      <c r="G37" s="265"/>
      <c r="L37" t="s">
        <v>55</v>
      </c>
    </row>
    <row r="38" spans="1:12" ht="15" thickBot="1">
      <c r="A38" s="309" t="s">
        <v>56</v>
      </c>
      <c r="B38" s="90"/>
      <c r="C38" s="90"/>
      <c r="D38" s="90"/>
      <c r="E38" s="90"/>
      <c r="F38" s="90"/>
    </row>
    <row r="39" spans="1:12">
      <c r="A39" s="342" t="s">
        <v>33</v>
      </c>
      <c r="B39" s="254"/>
      <c r="C39" s="254"/>
      <c r="D39" s="254"/>
      <c r="E39" s="254"/>
      <c r="F39" s="254"/>
      <c r="G39" s="255"/>
    </row>
    <row r="40" spans="1:12">
      <c r="A40" s="344" t="s">
        <v>454</v>
      </c>
      <c r="B40" s="257"/>
      <c r="C40" s="257"/>
      <c r="D40" s="257"/>
      <c r="E40" s="257"/>
      <c r="F40" s="257"/>
      <c r="G40" s="258"/>
    </row>
    <row r="41" spans="1:12">
      <c r="A41" s="349"/>
      <c r="B41" s="257"/>
      <c r="C41" s="257"/>
      <c r="D41" s="257"/>
      <c r="E41" s="257"/>
      <c r="F41" s="257"/>
      <c r="G41" s="258"/>
    </row>
    <row r="42" spans="1:12">
      <c r="A42" s="350" t="s">
        <v>455</v>
      </c>
      <c r="B42" s="257"/>
      <c r="C42" s="257"/>
      <c r="D42" s="257"/>
      <c r="E42" s="257"/>
      <c r="F42" s="257"/>
      <c r="G42" s="258"/>
    </row>
    <row r="43" spans="1:12">
      <c r="A43" s="316" t="s">
        <v>34</v>
      </c>
      <c r="B43" s="257"/>
      <c r="C43" s="257"/>
      <c r="D43" s="257"/>
      <c r="E43" s="257"/>
      <c r="F43" s="257"/>
      <c r="G43" s="258"/>
    </row>
    <row r="44" spans="1:12">
      <c r="A44" s="310"/>
      <c r="B44" s="257"/>
      <c r="C44" s="257"/>
      <c r="D44" s="257"/>
      <c r="E44" s="257"/>
      <c r="F44" s="257"/>
      <c r="G44" s="258"/>
    </row>
    <row r="45" spans="1:12">
      <c r="A45" s="310"/>
      <c r="B45" s="257"/>
      <c r="C45" s="257"/>
      <c r="D45" s="257"/>
      <c r="E45" s="257"/>
      <c r="F45" s="257"/>
      <c r="G45" s="258"/>
    </row>
    <row r="46" spans="1:12">
      <c r="A46" s="311"/>
      <c r="B46" s="257"/>
      <c r="C46" s="257"/>
      <c r="D46" s="257"/>
      <c r="E46" s="257"/>
      <c r="F46" s="257"/>
      <c r="G46" s="258"/>
    </row>
    <row r="47" spans="1:12">
      <c r="A47" s="311"/>
      <c r="B47" s="257"/>
      <c r="C47" s="257"/>
      <c r="D47" s="257"/>
      <c r="E47" s="257"/>
      <c r="F47" s="257"/>
      <c r="G47" s="258"/>
    </row>
    <row r="48" spans="1:12" ht="15" thickBot="1">
      <c r="A48" s="312"/>
      <c r="B48" s="264"/>
      <c r="C48" s="264"/>
      <c r="D48" s="264"/>
      <c r="E48" s="264"/>
      <c r="F48" s="264"/>
      <c r="G48" s="265"/>
    </row>
    <row r="49" spans="1:7" ht="15" thickBot="1">
      <c r="A49" s="309" t="s">
        <v>35</v>
      </c>
      <c r="B49" s="90"/>
      <c r="C49" s="90"/>
      <c r="D49" s="90"/>
      <c r="E49" s="90"/>
      <c r="F49" s="90"/>
    </row>
    <row r="50" spans="1:7">
      <c r="A50" s="342" t="s">
        <v>474</v>
      </c>
      <c r="B50" s="254"/>
      <c r="C50" s="254"/>
      <c r="D50" s="254"/>
      <c r="E50" s="254"/>
      <c r="F50" s="254"/>
      <c r="G50" s="255"/>
    </row>
    <row r="51" spans="1:7">
      <c r="A51" s="344" t="s">
        <v>475</v>
      </c>
      <c r="B51" s="257"/>
      <c r="C51" s="257"/>
      <c r="D51" s="257"/>
      <c r="E51" s="257"/>
      <c r="F51" s="257"/>
      <c r="G51" s="258"/>
    </row>
    <row r="52" spans="1:7">
      <c r="A52" s="344" t="s">
        <v>476</v>
      </c>
      <c r="B52" s="257"/>
      <c r="C52" s="257"/>
      <c r="D52" s="257"/>
      <c r="E52" s="257"/>
      <c r="F52" s="257"/>
      <c r="G52" s="258"/>
    </row>
    <row r="53" spans="1:7">
      <c r="A53" s="344" t="s">
        <v>477</v>
      </c>
      <c r="B53" s="257"/>
      <c r="C53" s="257"/>
      <c r="D53" s="257"/>
      <c r="E53" s="257"/>
      <c r="F53" s="257"/>
      <c r="G53" s="258"/>
    </row>
    <row r="54" spans="1:7">
      <c r="A54" s="344"/>
      <c r="B54" s="257"/>
      <c r="C54" s="257"/>
      <c r="D54" s="257"/>
      <c r="E54" s="257"/>
      <c r="F54" s="257"/>
      <c r="G54" s="258"/>
    </row>
    <row r="55" spans="1:7">
      <c r="A55" s="344" t="s">
        <v>478</v>
      </c>
      <c r="B55" s="257"/>
      <c r="C55" s="257"/>
      <c r="D55" s="257"/>
      <c r="E55" s="257"/>
      <c r="F55" s="257"/>
      <c r="G55" s="258"/>
    </row>
    <row r="56" spans="1:7">
      <c r="A56" s="344" t="s">
        <v>479</v>
      </c>
      <c r="B56" s="257"/>
      <c r="C56" s="257"/>
      <c r="D56" s="257"/>
      <c r="E56" s="257"/>
      <c r="F56" s="257"/>
      <c r="G56" s="258"/>
    </row>
    <row r="57" spans="1:7">
      <c r="A57" s="311"/>
      <c r="B57" s="257"/>
      <c r="C57" s="257"/>
      <c r="D57" s="257"/>
      <c r="E57" s="257"/>
      <c r="F57" s="257"/>
      <c r="G57" s="258"/>
    </row>
    <row r="58" spans="1:7">
      <c r="A58" s="311"/>
      <c r="B58" s="257"/>
      <c r="C58" s="257"/>
      <c r="D58" s="257"/>
      <c r="E58" s="257"/>
      <c r="F58" s="257"/>
      <c r="G58" s="258"/>
    </row>
    <row r="59" spans="1:7">
      <c r="A59" s="311"/>
      <c r="B59" s="257"/>
      <c r="C59" s="257"/>
      <c r="D59" s="257"/>
      <c r="E59" s="257"/>
      <c r="F59" s="257"/>
      <c r="G59" s="258"/>
    </row>
    <row r="60" spans="1:7" ht="15" thickBot="1">
      <c r="A60" s="312"/>
      <c r="B60" s="264"/>
      <c r="C60" s="264"/>
      <c r="D60" s="264"/>
      <c r="E60" s="264"/>
      <c r="F60" s="264"/>
      <c r="G60" s="265"/>
    </row>
    <row r="62" spans="1:7">
      <c r="A62" s="351" t="s">
        <v>480</v>
      </c>
      <c r="B62" s="352"/>
      <c r="C62" s="352"/>
      <c r="D62" s="352"/>
      <c r="E62" s="352"/>
      <c r="F62" s="353"/>
    </row>
    <row r="63" spans="1:7">
      <c r="A63" s="354" t="s">
        <v>36</v>
      </c>
      <c r="B63" s="355" t="s">
        <v>481</v>
      </c>
      <c r="C63" s="355"/>
      <c r="D63" s="355"/>
      <c r="E63" s="355"/>
      <c r="F63" s="356"/>
    </row>
    <row r="64" spans="1:7">
      <c r="A64" s="354" t="s">
        <v>37</v>
      </c>
      <c r="B64" s="355" t="s">
        <v>482</v>
      </c>
      <c r="C64" s="355"/>
      <c r="D64" s="355"/>
      <c r="E64" s="355"/>
      <c r="F64" s="356"/>
    </row>
    <row r="65" spans="1:6">
      <c r="A65" s="354" t="s">
        <v>38</v>
      </c>
      <c r="B65" s="355" t="s">
        <v>483</v>
      </c>
      <c r="C65" s="355"/>
      <c r="D65" s="355"/>
      <c r="E65" s="355"/>
      <c r="F65" s="356"/>
    </row>
    <row r="66" spans="1:6">
      <c r="A66" s="357"/>
      <c r="B66" s="357"/>
      <c r="C66" s="355"/>
      <c r="D66" s="355"/>
      <c r="E66" s="355"/>
      <c r="F66" s="356"/>
    </row>
    <row r="67" spans="1:6">
      <c r="A67" s="358" t="s">
        <v>484</v>
      </c>
      <c r="B67" s="359" t="s">
        <v>39</v>
      </c>
      <c r="C67" s="359"/>
      <c r="D67" s="359"/>
      <c r="E67" s="359"/>
      <c r="F67" s="360"/>
    </row>
  </sheetData>
  <phoneticPr fontId="8" type="noConversion"/>
  <printOptions headings="1"/>
  <pageMargins left="0.75" right="0.75" top="1" bottom="1" header="0.5" footer="0.5"/>
  <pageSetup scale="64" orientation="portrait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244"/>
  <sheetViews>
    <sheetView zoomScale="125" zoomScaleNormal="125" zoomScalePageLayoutView="125" workbookViewId="0">
      <selection activeCell="A2" sqref="A2"/>
    </sheetView>
  </sheetViews>
  <sheetFormatPr baseColWidth="10" defaultColWidth="8.83203125" defaultRowHeight="14" x14ac:dyDescent="0"/>
  <cols>
    <col min="1" max="1" width="26.1640625" customWidth="1"/>
    <col min="2" max="2" width="5.33203125" hidden="1" customWidth="1"/>
    <col min="3" max="3" width="4.83203125" hidden="1" customWidth="1"/>
    <col min="4" max="4" width="5.33203125" hidden="1" customWidth="1"/>
    <col min="5" max="5" width="11" customWidth="1"/>
    <col min="8" max="8" width="20.5" customWidth="1"/>
    <col min="9" max="9" width="21.83203125" customWidth="1"/>
    <col min="13" max="13" width="11.5" customWidth="1"/>
    <col min="16" max="16" width="9.5" customWidth="1"/>
    <col min="19" max="19" width="31" customWidth="1"/>
  </cols>
  <sheetData>
    <row r="1" spans="1:18">
      <c r="A1" s="86" t="s">
        <v>40</v>
      </c>
    </row>
    <row r="3" spans="1:18" ht="15">
      <c r="A3" s="87" t="s">
        <v>41</v>
      </c>
      <c r="B3" s="87"/>
      <c r="C3" s="87"/>
      <c r="D3" s="87"/>
      <c r="E3" s="88"/>
      <c r="J3" s="88"/>
      <c r="K3" s="88"/>
      <c r="L3" s="88"/>
      <c r="M3" s="88"/>
      <c r="N3" s="88"/>
      <c r="O3" s="89"/>
      <c r="P3" s="88"/>
      <c r="Q3" s="90"/>
      <c r="R3" s="90"/>
    </row>
    <row r="4" spans="1:18">
      <c r="A4" s="91" t="s">
        <v>396</v>
      </c>
      <c r="B4" s="92" t="s">
        <v>217</v>
      </c>
      <c r="C4" s="91"/>
      <c r="E4" s="91"/>
      <c r="F4" s="91"/>
      <c r="G4" s="91"/>
    </row>
    <row r="5" spans="1:18">
      <c r="A5" s="313" t="s">
        <v>485</v>
      </c>
      <c r="B5" s="314"/>
      <c r="C5" s="313"/>
      <c r="D5" s="62"/>
      <c r="E5" s="313"/>
      <c r="F5" s="313"/>
      <c r="G5" s="313"/>
      <c r="H5" s="62"/>
      <c r="I5" s="62"/>
      <c r="J5" s="62"/>
    </row>
    <row r="6" spans="1:18">
      <c r="A6" s="313"/>
      <c r="B6" s="314"/>
      <c r="C6" s="313"/>
      <c r="D6" s="62"/>
      <c r="E6" s="313" t="s">
        <v>42</v>
      </c>
      <c r="F6" s="313"/>
      <c r="G6" s="313"/>
      <c r="H6" s="62"/>
      <c r="I6" s="62"/>
      <c r="J6" s="62"/>
    </row>
    <row r="7" spans="1:18">
      <c r="A7" s="313"/>
      <c r="B7" s="314"/>
      <c r="C7" s="313"/>
      <c r="D7" s="62"/>
      <c r="E7" s="313"/>
      <c r="F7" s="313" t="s">
        <v>498</v>
      </c>
      <c r="G7" s="313"/>
      <c r="H7" s="62"/>
      <c r="I7" s="62"/>
      <c r="J7" s="62"/>
    </row>
    <row r="8" spans="1:18">
      <c r="A8" s="313"/>
      <c r="B8" s="314"/>
      <c r="C8" s="313"/>
      <c r="D8" s="62"/>
      <c r="E8" s="313" t="s">
        <v>499</v>
      </c>
      <c r="F8" s="313"/>
      <c r="G8" s="313"/>
      <c r="H8" s="62"/>
      <c r="I8" s="62"/>
      <c r="J8" s="62"/>
    </row>
    <row r="9" spans="1:18">
      <c r="A9" s="313"/>
      <c r="B9" s="314"/>
      <c r="C9" s="313"/>
      <c r="D9" s="62"/>
      <c r="E9" s="313" t="s">
        <v>500</v>
      </c>
      <c r="F9" s="313"/>
      <c r="G9" s="313"/>
      <c r="H9" s="62"/>
      <c r="I9" s="62"/>
      <c r="J9" s="62"/>
    </row>
    <row r="10" spans="1:18">
      <c r="A10" s="313"/>
      <c r="B10" s="314"/>
      <c r="C10" s="313"/>
      <c r="D10" s="62"/>
      <c r="E10" s="313" t="s">
        <v>43</v>
      </c>
      <c r="F10" s="313"/>
      <c r="G10" s="313"/>
      <c r="H10" s="62"/>
      <c r="I10" s="62"/>
      <c r="J10" s="62"/>
    </row>
    <row r="11" spans="1:18">
      <c r="B11" s="314"/>
      <c r="C11" s="313"/>
      <c r="D11" s="62"/>
      <c r="E11" s="313" t="s">
        <v>501</v>
      </c>
      <c r="F11" s="313"/>
      <c r="G11" s="313"/>
      <c r="H11" s="62"/>
      <c r="I11" s="62"/>
      <c r="J11" s="62"/>
    </row>
    <row r="12" spans="1:18">
      <c r="A12" s="313"/>
      <c r="B12" s="314"/>
      <c r="C12" s="313"/>
      <c r="D12" s="62"/>
      <c r="E12" s="313"/>
      <c r="F12" s="313"/>
      <c r="G12" s="313"/>
      <c r="H12" s="62"/>
      <c r="I12" s="62"/>
      <c r="J12" s="62"/>
    </row>
    <row r="13" spans="1:18">
      <c r="A13" s="313" t="s">
        <v>22</v>
      </c>
      <c r="B13" s="314"/>
      <c r="C13" s="313"/>
      <c r="D13" s="62"/>
      <c r="E13" s="313"/>
      <c r="F13" s="313"/>
      <c r="G13" s="313"/>
      <c r="H13" s="62"/>
      <c r="I13" s="62"/>
      <c r="J13" s="62"/>
    </row>
    <row r="14" spans="1:18">
      <c r="A14" s="313" t="s">
        <v>23</v>
      </c>
      <c r="B14" s="314"/>
      <c r="C14" s="313"/>
      <c r="D14" s="62"/>
      <c r="E14" s="313"/>
      <c r="F14" s="313"/>
      <c r="G14" s="313"/>
      <c r="H14" s="62"/>
      <c r="I14" s="62"/>
      <c r="J14" s="62"/>
    </row>
    <row r="15" spans="1:18">
      <c r="A15" s="313"/>
      <c r="B15" s="314"/>
      <c r="C15" s="313"/>
      <c r="D15" s="62"/>
      <c r="E15" s="315" t="s">
        <v>24</v>
      </c>
      <c r="F15" s="313"/>
      <c r="G15" s="313"/>
      <c r="H15" s="62"/>
      <c r="I15" s="62"/>
      <c r="J15" s="62"/>
    </row>
    <row r="16" spans="1:18">
      <c r="A16" s="313"/>
      <c r="B16" s="314"/>
      <c r="C16" s="313"/>
      <c r="D16" s="62"/>
      <c r="E16" s="315" t="s">
        <v>25</v>
      </c>
      <c r="F16" s="313"/>
      <c r="G16" s="313"/>
      <c r="H16" s="62"/>
      <c r="I16" s="62"/>
      <c r="J16" s="62"/>
    </row>
    <row r="17" spans="1:16">
      <c r="A17" s="313" t="s">
        <v>473</v>
      </c>
      <c r="B17" s="314"/>
      <c r="C17" s="313"/>
      <c r="D17" s="62"/>
      <c r="E17" s="315"/>
      <c r="F17" s="313"/>
      <c r="G17" s="313"/>
      <c r="H17" s="62"/>
      <c r="I17" s="62"/>
      <c r="J17" s="62"/>
    </row>
    <row r="18" spans="1:16">
      <c r="A18" s="313"/>
      <c r="B18" s="314"/>
      <c r="C18" s="313"/>
      <c r="D18" s="62"/>
      <c r="E18" s="313"/>
      <c r="F18" s="313"/>
      <c r="G18" s="313"/>
      <c r="H18" s="62"/>
      <c r="I18" s="62"/>
      <c r="J18" s="62"/>
    </row>
    <row r="19" spans="1:16">
      <c r="A19" s="316" t="s">
        <v>26</v>
      </c>
      <c r="B19" s="314"/>
      <c r="C19" s="313"/>
      <c r="D19" s="62"/>
      <c r="E19" s="313"/>
      <c r="F19" s="313"/>
      <c r="G19" s="313"/>
      <c r="H19" s="62"/>
      <c r="I19" s="62"/>
      <c r="J19" s="62"/>
      <c r="L19" s="317" t="s">
        <v>27</v>
      </c>
    </row>
    <row r="20" spans="1:16">
      <c r="A20" s="361" t="s">
        <v>293</v>
      </c>
      <c r="B20" s="362" t="e">
        <v>#DIV/0!</v>
      </c>
      <c r="C20" s="362" t="e">
        <v>#DIV/0!</v>
      </c>
      <c r="D20" s="362" t="e">
        <v>#DIV/0!</v>
      </c>
      <c r="E20" s="362">
        <v>1.8</v>
      </c>
      <c r="F20" s="362">
        <v>1.5893333333333333</v>
      </c>
      <c r="G20" s="362">
        <v>1.4504672897196262</v>
      </c>
      <c r="H20" s="363">
        <f>(G20-E20)/E20</f>
        <v>-0.19418483904465211</v>
      </c>
      <c r="I20" s="364"/>
      <c r="J20" s="62"/>
      <c r="L20" s="365" t="s">
        <v>488</v>
      </c>
      <c r="M20" s="357"/>
      <c r="N20" s="357"/>
      <c r="O20" s="357"/>
      <c r="P20" s="357"/>
    </row>
    <row r="21" spans="1:16">
      <c r="A21" s="366" t="s">
        <v>294</v>
      </c>
      <c r="B21" s="367" t="e">
        <v>#DIV/0!</v>
      </c>
      <c r="C21" s="367" t="e">
        <v>#DIV/0!</v>
      </c>
      <c r="D21" s="367" t="e">
        <v>#DIV/0!</v>
      </c>
      <c r="E21" s="367">
        <v>0.88076923076923075</v>
      </c>
      <c r="F21" s="367">
        <v>0.72</v>
      </c>
      <c r="G21" s="367">
        <v>0.66915887850467293</v>
      </c>
      <c r="H21" s="368">
        <f>(G21-E21)/E21</f>
        <v>-0.24025629514753291</v>
      </c>
      <c r="I21" s="369"/>
      <c r="J21" s="62"/>
      <c r="L21" s="365" t="s">
        <v>489</v>
      </c>
      <c r="M21" s="357"/>
      <c r="N21" s="357"/>
      <c r="O21" s="357"/>
      <c r="P21" s="357"/>
    </row>
    <row r="22" spans="1:16">
      <c r="A22" s="366" t="s">
        <v>420</v>
      </c>
      <c r="B22" s="367" t="e">
        <v>#DIV/0!</v>
      </c>
      <c r="C22" s="367" t="e">
        <v>#DIV/0!</v>
      </c>
      <c r="D22" s="367" t="e">
        <v>#DIV/0!</v>
      </c>
      <c r="E22" s="367">
        <v>36.779611078373605</v>
      </c>
      <c r="F22" s="367">
        <v>40.253353204172875</v>
      </c>
      <c r="G22" s="367">
        <v>42.949146250927988</v>
      </c>
      <c r="H22" s="368">
        <f>(G22-E22)/E22</f>
        <v>0.16774334996114373</v>
      </c>
      <c r="I22" s="369"/>
      <c r="J22" s="62"/>
      <c r="L22" s="365" t="s">
        <v>490</v>
      </c>
      <c r="M22" s="357"/>
      <c r="N22" s="357"/>
      <c r="O22" s="357"/>
      <c r="P22" s="357"/>
    </row>
    <row r="23" spans="1:16">
      <c r="A23" s="366" t="s">
        <v>423</v>
      </c>
      <c r="B23" s="367" t="e">
        <v>#DIV/0!</v>
      </c>
      <c r="C23" s="367" t="e">
        <v>#DIV/0!</v>
      </c>
      <c r="D23" s="367" t="e">
        <v>#DIV/0!</v>
      </c>
      <c r="E23" s="367">
        <v>71.387070376432078</v>
      </c>
      <c r="F23" s="367">
        <v>82.804453723034101</v>
      </c>
      <c r="G23" s="367">
        <v>78.241025641025644</v>
      </c>
      <c r="H23" s="368">
        <f>(G23-E23)/E23</f>
        <v>9.601115760111581E-2</v>
      </c>
      <c r="I23" s="369"/>
      <c r="J23" s="62"/>
      <c r="L23" s="370"/>
      <c r="M23" s="357"/>
      <c r="N23" s="357"/>
      <c r="O23" s="357"/>
      <c r="P23" s="357"/>
    </row>
    <row r="24" spans="1:16">
      <c r="A24" s="366" t="s">
        <v>425</v>
      </c>
      <c r="B24" s="367" t="e">
        <v>#DIV/0!</v>
      </c>
      <c r="C24" s="367" t="e">
        <v>#DIV/0!</v>
      </c>
      <c r="D24" s="367" t="e">
        <v>#DIV/0!</v>
      </c>
      <c r="E24" s="367">
        <v>37.037643207855979</v>
      </c>
      <c r="F24" s="367">
        <v>48.768267223382047</v>
      </c>
      <c r="G24" s="367">
        <v>47.917948717948718</v>
      </c>
      <c r="H24" s="368">
        <f>(G24-E24)/E24</f>
        <v>0.29376344086021489</v>
      </c>
      <c r="I24" s="369"/>
      <c r="J24" s="62"/>
      <c r="L24" s="365" t="s">
        <v>28</v>
      </c>
      <c r="M24" s="357"/>
      <c r="N24" s="357"/>
      <c r="O24" s="357"/>
      <c r="P24" s="357"/>
    </row>
    <row r="25" spans="1:16">
      <c r="A25" s="371"/>
      <c r="B25" s="372"/>
      <c r="C25" s="373"/>
      <c r="D25" s="374"/>
      <c r="E25" s="373"/>
      <c r="F25" s="373"/>
      <c r="G25" s="373"/>
      <c r="H25" s="374"/>
      <c r="I25" s="369"/>
      <c r="J25" s="62"/>
      <c r="L25" s="365" t="s">
        <v>491</v>
      </c>
      <c r="M25" s="357"/>
      <c r="N25" s="357"/>
      <c r="O25" s="357"/>
      <c r="P25" s="357"/>
    </row>
    <row r="26" spans="1:16">
      <c r="A26" s="371" t="s">
        <v>492</v>
      </c>
      <c r="B26" s="372"/>
      <c r="C26" s="373"/>
      <c r="D26" s="374"/>
      <c r="E26" s="373"/>
      <c r="F26" s="373"/>
      <c r="G26" s="373"/>
      <c r="H26" s="374"/>
      <c r="I26" s="369"/>
      <c r="J26" s="62"/>
      <c r="L26" s="357"/>
      <c r="M26" s="370"/>
      <c r="N26" s="370"/>
      <c r="O26" s="370"/>
      <c r="P26" s="370"/>
    </row>
    <row r="27" spans="1:16">
      <c r="A27" s="371" t="s">
        <v>493</v>
      </c>
      <c r="B27" s="372"/>
      <c r="C27" s="373"/>
      <c r="D27" s="374"/>
      <c r="E27" s="373"/>
      <c r="F27" s="373"/>
      <c r="G27" s="373"/>
      <c r="H27" s="374"/>
      <c r="I27" s="369"/>
      <c r="J27" s="62"/>
      <c r="L27" s="375" t="s">
        <v>29</v>
      </c>
      <c r="M27" s="370"/>
      <c r="N27" s="370"/>
      <c r="O27" s="370"/>
      <c r="P27" s="370"/>
    </row>
    <row r="28" spans="1:16">
      <c r="A28" s="371" t="s">
        <v>494</v>
      </c>
      <c r="B28" s="318"/>
      <c r="C28" s="319"/>
      <c r="D28" s="320"/>
      <c r="E28" s="319"/>
      <c r="F28" s="319"/>
      <c r="G28" s="319"/>
      <c r="H28" s="320"/>
      <c r="I28" s="321"/>
      <c r="J28" s="62"/>
      <c r="L28" s="375" t="s">
        <v>30</v>
      </c>
      <c r="M28" s="370"/>
      <c r="N28" s="370"/>
      <c r="O28" s="370"/>
      <c r="P28" s="370"/>
    </row>
    <row r="29" spans="1:16">
      <c r="A29" s="322"/>
      <c r="B29" s="323"/>
      <c r="C29" s="324"/>
      <c r="D29" s="325"/>
      <c r="E29" s="324"/>
      <c r="F29" s="324"/>
      <c r="G29" s="324"/>
      <c r="H29" s="325"/>
      <c r="I29" s="326"/>
      <c r="L29" s="375" t="s">
        <v>31</v>
      </c>
      <c r="M29" s="370"/>
      <c r="N29" s="375" t="s">
        <v>495</v>
      </c>
      <c r="O29" s="370"/>
      <c r="P29" s="370"/>
    </row>
    <row r="30" spans="1:16">
      <c r="A30" s="91" t="s">
        <v>396</v>
      </c>
      <c r="B30" s="92"/>
      <c r="C30" s="91"/>
      <c r="E30" s="91"/>
      <c r="F30" s="91"/>
      <c r="G30" s="91"/>
      <c r="L30" s="357"/>
      <c r="M30" s="357"/>
      <c r="N30" s="357"/>
      <c r="O30" s="357"/>
      <c r="P30" s="357"/>
    </row>
    <row r="31" spans="1:16">
      <c r="A31" s="316" t="s">
        <v>32</v>
      </c>
      <c r="B31" s="92"/>
      <c r="C31" s="91"/>
      <c r="E31" s="91"/>
      <c r="F31" s="91"/>
      <c r="G31" s="91"/>
      <c r="L31" s="357"/>
      <c r="M31" s="357"/>
      <c r="N31" s="357"/>
      <c r="O31" s="357"/>
      <c r="P31" s="357"/>
    </row>
    <row r="32" spans="1:16">
      <c r="A32" s="376" t="s">
        <v>428</v>
      </c>
      <c r="B32" s="377" t="e">
        <v>#DIV/0!</v>
      </c>
      <c r="C32" s="378" t="e">
        <v>#DIV/0!</v>
      </c>
      <c r="D32" s="379" t="e">
        <v>#DIV/0!</v>
      </c>
      <c r="E32" s="380">
        <v>0.19161676646706588</v>
      </c>
      <c r="F32" s="380">
        <v>0.15789473684210525</v>
      </c>
      <c r="G32" s="380">
        <v>0.12562814070351758</v>
      </c>
      <c r="H32" s="363">
        <f>(G32-E32)/E32</f>
        <v>-0.34437814070351769</v>
      </c>
      <c r="I32" s="297"/>
      <c r="L32" s="365" t="s">
        <v>496</v>
      </c>
      <c r="M32" s="357"/>
      <c r="N32" s="357"/>
      <c r="O32" s="357"/>
      <c r="P32" s="357"/>
    </row>
    <row r="33" spans="1:16">
      <c r="A33" s="371" t="s">
        <v>429</v>
      </c>
      <c r="B33" s="372" t="e">
        <v>#DIV/0!</v>
      </c>
      <c r="C33" s="373" t="e">
        <v>#DIV/0!</v>
      </c>
      <c r="D33" s="374" t="e">
        <v>#DIV/0!</v>
      </c>
      <c r="E33" s="381">
        <v>0.23703703703703705</v>
      </c>
      <c r="F33" s="381">
        <v>0.1875</v>
      </c>
      <c r="G33" s="381">
        <v>0.14367816091954022</v>
      </c>
      <c r="H33" s="368">
        <f>(G33-E33)/E33</f>
        <v>-0.39385775862068972</v>
      </c>
      <c r="I33" s="287"/>
      <c r="L33" s="382" t="s">
        <v>497</v>
      </c>
      <c r="M33" s="357"/>
      <c r="N33" s="357"/>
      <c r="O33" s="357"/>
      <c r="P33" s="357"/>
    </row>
    <row r="34" spans="1:16">
      <c r="A34" s="371" t="s">
        <v>430</v>
      </c>
      <c r="B34" s="372" t="e">
        <v>#DIV/0!</v>
      </c>
      <c r="C34" s="373" t="e">
        <v>#DIV/0!</v>
      </c>
      <c r="D34" s="374" t="e">
        <v>#DIV/0!</v>
      </c>
      <c r="E34" s="383">
        <v>3.8461538461538463</v>
      </c>
      <c r="F34" s="383">
        <v>3.05</v>
      </c>
      <c r="G34" s="383">
        <v>2.606060606060606</v>
      </c>
      <c r="H34" s="368">
        <f>(G34-E34)/E34</f>
        <v>-0.32242424242424245</v>
      </c>
      <c r="I34" s="287"/>
      <c r="L34" s="365" t="s">
        <v>11</v>
      </c>
      <c r="M34" s="357"/>
      <c r="N34" s="357"/>
      <c r="O34" s="357"/>
      <c r="P34" s="357"/>
    </row>
    <row r="35" spans="1:16">
      <c r="A35" s="371" t="s">
        <v>432</v>
      </c>
      <c r="B35" s="372" t="e">
        <v>#DIV/0!</v>
      </c>
      <c r="C35" s="373" t="e">
        <v>#DIV/0!</v>
      </c>
      <c r="D35" s="374" t="e">
        <v>#DIV/0!</v>
      </c>
      <c r="E35" s="383">
        <v>3.2224532224532227</v>
      </c>
      <c r="F35" s="383">
        <v>2.5292682926829269</v>
      </c>
      <c r="G35" s="383">
        <v>2.1635220125786163</v>
      </c>
      <c r="H35" s="368">
        <f>(G35-E35)/E35</f>
        <v>-0.32861026577399072</v>
      </c>
      <c r="I35" s="287"/>
      <c r="L35" s="357"/>
      <c r="M35" s="357"/>
      <c r="N35" s="357"/>
      <c r="O35" s="357"/>
      <c r="P35" s="357"/>
    </row>
    <row r="36" spans="1:16">
      <c r="A36" s="371"/>
      <c r="B36" s="384"/>
      <c r="C36" s="385"/>
      <c r="D36" s="345"/>
      <c r="E36" s="385"/>
      <c r="F36" s="385"/>
      <c r="G36" s="385"/>
      <c r="H36" s="345"/>
      <c r="I36" s="287"/>
      <c r="L36" s="375" t="s">
        <v>12</v>
      </c>
      <c r="M36" s="357"/>
      <c r="N36" s="357"/>
      <c r="O36" s="357"/>
      <c r="P36" s="357"/>
    </row>
    <row r="37" spans="1:16">
      <c r="A37" s="386" t="s">
        <v>13</v>
      </c>
      <c r="B37" s="384"/>
      <c r="C37" s="385"/>
      <c r="D37" s="345"/>
      <c r="E37" s="385"/>
      <c r="F37" s="385"/>
      <c r="G37" s="385"/>
      <c r="H37" s="345"/>
      <c r="I37" s="287"/>
      <c r="L37" s="375" t="s">
        <v>14</v>
      </c>
      <c r="M37" s="357"/>
      <c r="N37" s="357"/>
      <c r="O37" s="357"/>
      <c r="P37" s="357"/>
    </row>
    <row r="38" spans="1:16">
      <c r="A38" s="386" t="s">
        <v>15</v>
      </c>
      <c r="B38" s="384"/>
      <c r="C38" s="385"/>
      <c r="D38" s="345"/>
      <c r="E38" s="385"/>
      <c r="F38" s="385"/>
      <c r="G38" s="385"/>
      <c r="H38" s="345"/>
      <c r="I38" s="287"/>
      <c r="L38" s="375" t="s">
        <v>31</v>
      </c>
      <c r="M38" s="357"/>
      <c r="N38" s="375" t="s">
        <v>495</v>
      </c>
      <c r="O38" s="357"/>
      <c r="P38" s="357"/>
    </row>
    <row r="39" spans="1:16">
      <c r="A39" s="387" t="s">
        <v>16</v>
      </c>
      <c r="B39" s="328"/>
      <c r="C39" s="329"/>
      <c r="D39" s="257"/>
      <c r="E39" s="329"/>
      <c r="F39" s="329"/>
      <c r="G39" s="329"/>
      <c r="H39" s="257"/>
      <c r="I39" s="287"/>
      <c r="L39" s="357"/>
      <c r="M39" s="357"/>
      <c r="N39" s="357"/>
      <c r="O39" s="357"/>
      <c r="P39" s="357"/>
    </row>
    <row r="40" spans="1:16">
      <c r="A40" s="327"/>
      <c r="B40" s="328"/>
      <c r="C40" s="329"/>
      <c r="D40" s="257"/>
      <c r="E40" s="329"/>
      <c r="F40" s="329"/>
      <c r="G40" s="329"/>
      <c r="H40" s="257"/>
      <c r="I40" s="287"/>
      <c r="L40" s="357"/>
      <c r="M40" s="357"/>
      <c r="N40" s="357"/>
      <c r="O40" s="357"/>
      <c r="P40" s="357"/>
    </row>
    <row r="41" spans="1:16">
      <c r="A41" s="330"/>
      <c r="B41" s="323"/>
      <c r="C41" s="324"/>
      <c r="D41" s="325"/>
      <c r="E41" s="324"/>
      <c r="F41" s="324"/>
      <c r="G41" s="324"/>
      <c r="H41" s="325"/>
      <c r="I41" s="326"/>
      <c r="L41" s="357"/>
      <c r="M41" s="357"/>
      <c r="N41" s="357"/>
      <c r="O41" s="357"/>
      <c r="P41" s="357"/>
    </row>
    <row r="42" spans="1:16">
      <c r="A42" s="91"/>
      <c r="B42" s="92"/>
      <c r="C42" s="91"/>
      <c r="E42" s="91"/>
      <c r="F42" s="91"/>
      <c r="G42" s="91"/>
      <c r="L42" s="357"/>
      <c r="M42" s="357"/>
      <c r="N42" s="357"/>
      <c r="O42" s="357"/>
      <c r="P42" s="357"/>
    </row>
    <row r="43" spans="1:16">
      <c r="A43" s="316" t="s">
        <v>17</v>
      </c>
      <c r="B43" s="92"/>
      <c r="C43" s="91"/>
      <c r="E43" s="91"/>
      <c r="F43" s="91"/>
      <c r="G43" s="91"/>
      <c r="L43" s="357"/>
      <c r="M43" s="357"/>
      <c r="N43" s="357"/>
      <c r="O43" s="357"/>
      <c r="P43" s="357"/>
    </row>
    <row r="44" spans="1:16">
      <c r="A44" s="376" t="s">
        <v>435</v>
      </c>
      <c r="B44" s="377" t="e">
        <v>#DIV/0!</v>
      </c>
      <c r="C44" s="378" t="e">
        <v>#DIV/0!</v>
      </c>
      <c r="D44" s="379" t="e">
        <v>#DIV/0!</v>
      </c>
      <c r="E44" s="388">
        <v>13.468253968253968</v>
      </c>
      <c r="F44" s="388">
        <v>14.378571428571428</v>
      </c>
      <c r="G44" s="388">
        <v>17.159235668789808</v>
      </c>
      <c r="H44" s="389">
        <f>(G44-E44)/E44</f>
        <v>0.27405049750590205</v>
      </c>
      <c r="I44" s="297"/>
      <c r="L44" s="357"/>
      <c r="M44" s="357"/>
      <c r="N44" s="357"/>
      <c r="O44" s="357"/>
      <c r="P44" s="357"/>
    </row>
    <row r="45" spans="1:16">
      <c r="A45" s="371" t="s">
        <v>436</v>
      </c>
      <c r="B45" s="372" t="e">
        <v>#DIV/0!</v>
      </c>
      <c r="C45" s="373" t="e">
        <v>#DIV/0!</v>
      </c>
      <c r="D45" s="374" t="e">
        <v>#DIV/0!</v>
      </c>
      <c r="E45" s="383">
        <v>2.8569023569023568</v>
      </c>
      <c r="F45" s="383">
        <v>2.7350543478260869</v>
      </c>
      <c r="G45" s="383">
        <v>2.887459807073955</v>
      </c>
      <c r="H45" s="390">
        <f>(G45-E45)/E45</f>
        <v>1.0696007897424462E-2</v>
      </c>
      <c r="I45" s="287"/>
      <c r="L45" s="357"/>
      <c r="M45" s="357"/>
      <c r="N45" s="357"/>
      <c r="O45" s="357"/>
      <c r="P45" s="357"/>
    </row>
    <row r="46" spans="1:16">
      <c r="A46" s="371"/>
      <c r="B46" s="384"/>
      <c r="C46" s="385"/>
      <c r="D46" s="345"/>
      <c r="E46" s="385"/>
      <c r="F46" s="385"/>
      <c r="G46" s="385"/>
      <c r="H46" s="345"/>
      <c r="I46" s="287"/>
      <c r="L46" s="375" t="s">
        <v>508</v>
      </c>
      <c r="M46" s="357"/>
      <c r="N46" s="357"/>
      <c r="O46" s="357"/>
      <c r="P46" s="357"/>
    </row>
    <row r="47" spans="1:16">
      <c r="A47" s="391" t="s">
        <v>509</v>
      </c>
      <c r="B47" s="384"/>
      <c r="C47" s="385"/>
      <c r="D47" s="345"/>
      <c r="E47" s="385"/>
      <c r="F47" s="385"/>
      <c r="G47" s="385"/>
      <c r="H47" s="345"/>
      <c r="I47" s="287"/>
      <c r="L47" s="375" t="s">
        <v>18</v>
      </c>
      <c r="M47" s="357"/>
      <c r="N47" s="357"/>
      <c r="O47" s="357"/>
      <c r="P47" s="357"/>
    </row>
    <row r="48" spans="1:16">
      <c r="A48" s="371" t="s">
        <v>510</v>
      </c>
      <c r="B48" s="384"/>
      <c r="C48" s="385"/>
      <c r="D48" s="345"/>
      <c r="E48" s="385"/>
      <c r="F48" s="385"/>
      <c r="G48" s="385"/>
      <c r="H48" s="345"/>
      <c r="I48" s="287"/>
      <c r="L48" s="375" t="s">
        <v>31</v>
      </c>
      <c r="M48" s="357"/>
      <c r="N48" s="375" t="s">
        <v>495</v>
      </c>
      <c r="O48" s="357"/>
      <c r="P48" s="357"/>
    </row>
    <row r="49" spans="1:16">
      <c r="A49" s="327"/>
      <c r="B49" s="328"/>
      <c r="C49" s="329"/>
      <c r="D49" s="257"/>
      <c r="E49" s="329"/>
      <c r="F49" s="329"/>
      <c r="G49" s="329"/>
      <c r="H49" s="257"/>
      <c r="I49" s="287"/>
      <c r="L49" s="357"/>
      <c r="M49" s="357"/>
      <c r="N49" s="357"/>
      <c r="O49" s="357"/>
      <c r="P49" s="357"/>
    </row>
    <row r="50" spans="1:16">
      <c r="A50" s="327"/>
      <c r="B50" s="328"/>
      <c r="C50" s="329"/>
      <c r="D50" s="257"/>
      <c r="E50" s="329"/>
      <c r="F50" s="329"/>
      <c r="G50" s="329"/>
      <c r="H50" s="257"/>
      <c r="I50" s="287"/>
      <c r="L50" s="357"/>
      <c r="M50" s="357"/>
      <c r="N50" s="357"/>
      <c r="O50" s="357"/>
      <c r="P50" s="357"/>
    </row>
    <row r="51" spans="1:16">
      <c r="A51" s="327"/>
      <c r="B51" s="328"/>
      <c r="C51" s="329"/>
      <c r="D51" s="257"/>
      <c r="E51" s="329"/>
      <c r="F51" s="329"/>
      <c r="G51" s="329"/>
      <c r="H51" s="257"/>
      <c r="I51" s="287"/>
      <c r="L51" s="357"/>
      <c r="M51" s="357"/>
      <c r="N51" s="357"/>
      <c r="O51" s="357"/>
      <c r="P51" s="357"/>
    </row>
    <row r="52" spans="1:16">
      <c r="A52" s="327"/>
      <c r="B52" s="328"/>
      <c r="C52" s="329"/>
      <c r="D52" s="257"/>
      <c r="E52" s="329"/>
      <c r="F52" s="329"/>
      <c r="G52" s="329"/>
      <c r="H52" s="257"/>
      <c r="I52" s="287"/>
      <c r="L52" s="357"/>
      <c r="M52" s="357"/>
      <c r="N52" s="357"/>
      <c r="O52" s="357"/>
      <c r="P52" s="357"/>
    </row>
    <row r="53" spans="1:16">
      <c r="A53" s="330"/>
      <c r="B53" s="323"/>
      <c r="C53" s="324"/>
      <c r="D53" s="325"/>
      <c r="E53" s="324"/>
      <c r="F53" s="324"/>
      <c r="G53" s="324"/>
      <c r="H53" s="325"/>
      <c r="I53" s="326"/>
      <c r="L53" s="357"/>
      <c r="M53" s="357"/>
      <c r="N53" s="357"/>
      <c r="O53" s="357"/>
      <c r="P53" s="357"/>
    </row>
    <row r="54" spans="1:16">
      <c r="A54" s="91"/>
      <c r="B54" s="92"/>
      <c r="C54" s="91"/>
      <c r="E54" s="91"/>
      <c r="F54" s="91"/>
      <c r="G54" s="91"/>
      <c r="L54" s="357"/>
      <c r="M54" s="357"/>
      <c r="N54" s="357"/>
      <c r="O54" s="357"/>
      <c r="P54" s="357"/>
    </row>
    <row r="55" spans="1:16">
      <c r="A55" s="316" t="s">
        <v>511</v>
      </c>
      <c r="B55" s="92"/>
      <c r="C55" s="91"/>
      <c r="E55" s="91"/>
      <c r="F55" s="91"/>
      <c r="G55" s="91"/>
      <c r="L55" s="357"/>
      <c r="M55" s="357"/>
      <c r="N55" s="357"/>
      <c r="O55" s="357"/>
      <c r="P55" s="357"/>
    </row>
    <row r="56" spans="1:16">
      <c r="A56" s="376" t="s">
        <v>512</v>
      </c>
      <c r="B56" s="392" t="e">
        <v>#DIV/0!</v>
      </c>
      <c r="C56" s="393" t="e">
        <v>#DIV/0!</v>
      </c>
      <c r="D56" s="394" t="e">
        <v>#DIV/0!</v>
      </c>
      <c r="E56" s="380">
        <v>0.2799057159693577</v>
      </c>
      <c r="F56" s="380">
        <v>0.28614008941877794</v>
      </c>
      <c r="G56" s="380">
        <v>0.27616926503340755</v>
      </c>
      <c r="H56" s="389">
        <f t="shared" ref="H56:H61" si="0">(G56-E56)/E56</f>
        <v>-1.3348962606962967E-2</v>
      </c>
      <c r="I56" s="395"/>
      <c r="L56" s="396">
        <v>0.5</v>
      </c>
      <c r="M56" s="397" t="s">
        <v>513</v>
      </c>
      <c r="N56" s="397"/>
      <c r="O56" s="397"/>
      <c r="P56" s="397"/>
    </row>
    <row r="57" spans="1:16">
      <c r="A57" s="371" t="s">
        <v>514</v>
      </c>
      <c r="B57" s="384" t="e">
        <v>#DIV/0!</v>
      </c>
      <c r="C57" s="385" t="e">
        <v>#DIV/0!</v>
      </c>
      <c r="D57" s="345" t="e">
        <v>#DIV/0!</v>
      </c>
      <c r="E57" s="381">
        <v>2.9463759575721862E-2</v>
      </c>
      <c r="F57" s="381">
        <v>3.0303030303030304E-2</v>
      </c>
      <c r="G57" s="381">
        <v>3.1922791388270227E-2</v>
      </c>
      <c r="H57" s="390">
        <f t="shared" si="0"/>
        <v>8.3459539717891537E-2</v>
      </c>
      <c r="I57" s="398"/>
      <c r="L57" s="399">
        <v>0.5</v>
      </c>
      <c r="M57" s="397" t="str">
        <f>M56</f>
        <v>point</v>
      </c>
      <c r="N57" s="397"/>
      <c r="O57" s="397"/>
      <c r="P57" s="397"/>
    </row>
    <row r="58" spans="1:16">
      <c r="A58" s="371" t="s">
        <v>515</v>
      </c>
      <c r="B58" s="384" t="e">
        <v>#DIV/0!</v>
      </c>
      <c r="C58" s="385" t="e">
        <v>#DIV/0!</v>
      </c>
      <c r="D58" s="345" t="e">
        <v>#DIV/0!</v>
      </c>
      <c r="E58" s="381">
        <v>1.8267530936947555E-2</v>
      </c>
      <c r="F58" s="381">
        <v>1.6890213611525089E-2</v>
      </c>
      <c r="G58" s="381">
        <v>1.6332590942835932E-2</v>
      </c>
      <c r="H58" s="390">
        <f t="shared" si="0"/>
        <v>-0.10592236032282014</v>
      </c>
      <c r="I58" s="398"/>
      <c r="L58" s="399">
        <v>0.5</v>
      </c>
      <c r="M58" s="397" t="str">
        <f>M57</f>
        <v>point</v>
      </c>
      <c r="N58" s="397"/>
      <c r="O58" s="397"/>
      <c r="P58" s="397"/>
    </row>
    <row r="59" spans="1:16">
      <c r="A59" s="371" t="s">
        <v>516</v>
      </c>
      <c r="B59" s="384" t="e">
        <v>#DIV/0!</v>
      </c>
      <c r="C59" s="385" t="e">
        <v>#DIV/0!</v>
      </c>
      <c r="D59" s="345" t="e">
        <v>#DIV/0!</v>
      </c>
      <c r="E59" s="381">
        <v>5.2188552188552187E-2</v>
      </c>
      <c r="F59" s="381">
        <v>4.619565217391304E-2</v>
      </c>
      <c r="G59" s="381">
        <v>4.7159699892818867E-2</v>
      </c>
      <c r="H59" s="390">
        <f t="shared" si="0"/>
        <v>-9.6359298827922324E-2</v>
      </c>
      <c r="I59" s="398"/>
      <c r="L59" s="399">
        <v>0.5</v>
      </c>
      <c r="M59" s="397" t="str">
        <f>M58</f>
        <v>point</v>
      </c>
      <c r="N59" s="397"/>
      <c r="O59" s="397"/>
      <c r="P59" s="397"/>
    </row>
    <row r="60" spans="1:16">
      <c r="A60" s="371" t="s">
        <v>442</v>
      </c>
      <c r="B60" s="384" t="e">
        <v>#DIV/0!</v>
      </c>
      <c r="C60" s="385" t="e">
        <v>#DIV/0!</v>
      </c>
      <c r="D60" s="345" t="e">
        <v>#DIV/0!</v>
      </c>
      <c r="E60" s="381">
        <v>0.11481481481481481</v>
      </c>
      <c r="F60" s="381">
        <v>0.1118421052631579</v>
      </c>
      <c r="G60" s="381">
        <v>0.12643678160919541</v>
      </c>
      <c r="H60" s="390">
        <f t="shared" si="0"/>
        <v>0.10122358175750845</v>
      </c>
      <c r="I60" s="398"/>
      <c r="L60" s="399">
        <v>0.5</v>
      </c>
      <c r="M60" s="397" t="str">
        <f>M59</f>
        <v>point</v>
      </c>
      <c r="N60" s="397"/>
      <c r="O60" s="397"/>
      <c r="P60" s="397"/>
    </row>
    <row r="61" spans="1:16">
      <c r="A61" s="371" t="s">
        <v>443</v>
      </c>
      <c r="B61" s="384" t="e">
        <v>#DIV/0!</v>
      </c>
      <c r="C61" s="385" t="e">
        <v>#DIV/0!</v>
      </c>
      <c r="D61" s="345" t="e">
        <v>#DIV/0!</v>
      </c>
      <c r="E61" s="381">
        <v>7.0525070525070524E-2</v>
      </c>
      <c r="F61" s="381">
        <v>6.8730116648992576E-2</v>
      </c>
      <c r="G61" s="381">
        <v>7.6523286618536274E-2</v>
      </c>
      <c r="H61" s="390">
        <f t="shared" si="0"/>
        <v>8.5050834388509841E-2</v>
      </c>
      <c r="I61" s="398"/>
      <c r="L61" s="399">
        <v>0.5</v>
      </c>
      <c r="M61" s="397" t="str">
        <f>M60</f>
        <v>point</v>
      </c>
      <c r="N61" s="397"/>
      <c r="O61" s="397"/>
      <c r="P61" s="397"/>
    </row>
    <row r="62" spans="1:16">
      <c r="A62" s="371" t="s">
        <v>517</v>
      </c>
      <c r="B62" s="384"/>
      <c r="C62" s="385"/>
      <c r="D62" s="345"/>
      <c r="E62" s="385"/>
      <c r="F62" s="385"/>
      <c r="G62" s="385"/>
      <c r="H62" s="345"/>
      <c r="I62" s="398"/>
      <c r="L62" s="397">
        <v>4</v>
      </c>
      <c r="M62" s="397" t="s">
        <v>518</v>
      </c>
      <c r="N62" s="397" t="s">
        <v>519</v>
      </c>
      <c r="O62" s="397"/>
      <c r="P62" s="397"/>
    </row>
    <row r="63" spans="1:16">
      <c r="A63" s="371" t="s">
        <v>520</v>
      </c>
      <c r="B63" s="384"/>
      <c r="C63" s="385"/>
      <c r="D63" s="345"/>
      <c r="E63" s="385"/>
      <c r="F63" s="385"/>
      <c r="G63" s="385"/>
      <c r="H63" s="345"/>
      <c r="I63" s="398"/>
      <c r="L63" s="397">
        <v>5</v>
      </c>
      <c r="M63" s="397" t="s">
        <v>518</v>
      </c>
      <c r="N63" s="397" t="s">
        <v>521</v>
      </c>
      <c r="O63" s="397"/>
      <c r="P63" s="397"/>
    </row>
    <row r="64" spans="1:16">
      <c r="A64" s="371" t="s">
        <v>522</v>
      </c>
      <c r="B64" s="384"/>
      <c r="C64" s="385"/>
      <c r="D64" s="345"/>
      <c r="E64" s="385"/>
      <c r="F64" s="385"/>
      <c r="G64" s="385"/>
      <c r="H64" s="345"/>
      <c r="I64" s="398"/>
      <c r="L64" s="397" t="s">
        <v>523</v>
      </c>
      <c r="M64" s="397" t="s">
        <v>19</v>
      </c>
      <c r="N64" s="375" t="s">
        <v>495</v>
      </c>
      <c r="O64" s="397"/>
      <c r="P64" s="397"/>
    </row>
    <row r="65" spans="1:16">
      <c r="A65" s="400" t="s">
        <v>532</v>
      </c>
      <c r="B65" s="401"/>
      <c r="C65" s="402"/>
      <c r="D65" s="403"/>
      <c r="E65" s="402"/>
      <c r="F65" s="402"/>
      <c r="G65" s="402"/>
      <c r="H65" s="403"/>
      <c r="I65" s="404"/>
      <c r="L65" s="365" t="s">
        <v>106</v>
      </c>
      <c r="M65" s="357"/>
      <c r="N65" s="357"/>
      <c r="O65" s="357"/>
      <c r="P65" s="357"/>
    </row>
    <row r="66" spans="1:16">
      <c r="A66" s="91"/>
      <c r="B66" s="92"/>
      <c r="C66" s="91"/>
      <c r="E66" s="91"/>
      <c r="F66" s="91"/>
      <c r="G66" s="91"/>
      <c r="L66" s="357"/>
      <c r="M66" s="357"/>
      <c r="N66" s="357"/>
      <c r="O66" s="357"/>
      <c r="P66" s="357"/>
    </row>
    <row r="67" spans="1:16">
      <c r="A67" s="316" t="s">
        <v>533</v>
      </c>
      <c r="B67" s="92"/>
      <c r="C67" s="91"/>
      <c r="E67" s="91"/>
      <c r="F67" s="91"/>
      <c r="G67" s="91"/>
      <c r="L67" s="357"/>
      <c r="M67" s="357"/>
      <c r="N67" s="357"/>
      <c r="O67" s="357"/>
      <c r="P67" s="357"/>
    </row>
    <row r="68" spans="1:16">
      <c r="A68" s="376" t="s">
        <v>445</v>
      </c>
      <c r="B68" s="392" t="e">
        <v>#DIV/0!</v>
      </c>
      <c r="C68" s="393" t="e">
        <v>#DIV/0!</v>
      </c>
      <c r="D68" s="394" t="e">
        <v>#DIV/0!</v>
      </c>
      <c r="E68" s="380">
        <v>1.8267530936947555E-2</v>
      </c>
      <c r="F68" s="380">
        <v>1.6890213611525089E-2</v>
      </c>
      <c r="G68" s="380">
        <v>1.6332590942835932E-2</v>
      </c>
      <c r="H68" s="389">
        <f>(G68-E68)/E68</f>
        <v>-0.10592236032282014</v>
      </c>
      <c r="I68" s="395"/>
      <c r="L68" s="357"/>
      <c r="M68" s="357"/>
      <c r="N68" s="357"/>
      <c r="O68" s="357"/>
      <c r="P68" s="357"/>
    </row>
    <row r="69" spans="1:16">
      <c r="A69" s="371" t="s">
        <v>446</v>
      </c>
      <c r="B69" s="384" t="e">
        <v>#DIV/0!</v>
      </c>
      <c r="C69" s="385" t="e">
        <v>#DIV/0!</v>
      </c>
      <c r="D69" s="345" t="e">
        <v>#DIV/0!</v>
      </c>
      <c r="E69" s="383">
        <v>2.8569023569023568</v>
      </c>
      <c r="F69" s="383">
        <v>2.7350543478260869</v>
      </c>
      <c r="G69" s="383">
        <v>2.887459807073955</v>
      </c>
      <c r="H69" s="390">
        <f>(G69-E69)/E69</f>
        <v>1.0696007897424462E-2</v>
      </c>
      <c r="I69" s="398"/>
      <c r="L69" s="357"/>
      <c r="M69" s="357"/>
      <c r="N69" s="357"/>
      <c r="O69" s="357"/>
      <c r="P69" s="357"/>
    </row>
    <row r="70" spans="1:16">
      <c r="A70" s="371" t="s">
        <v>447</v>
      </c>
      <c r="B70" s="384" t="e">
        <v>#DIV/0!</v>
      </c>
      <c r="C70" s="385" t="e">
        <v>#DIV/0!</v>
      </c>
      <c r="D70" s="345" t="e">
        <v>#DIV/0!</v>
      </c>
      <c r="E70" s="383">
        <v>2.2000000000000002</v>
      </c>
      <c r="F70" s="383">
        <v>2.4210526315789473</v>
      </c>
      <c r="G70" s="383">
        <v>2.6810344827586206</v>
      </c>
      <c r="H70" s="390">
        <f>(G70-E70)/E70</f>
        <v>0.2186520376175547</v>
      </c>
      <c r="I70" s="398"/>
      <c r="L70" s="357"/>
      <c r="M70" s="357"/>
      <c r="N70" s="357"/>
      <c r="O70" s="357"/>
      <c r="P70" s="357"/>
    </row>
    <row r="71" spans="1:16">
      <c r="A71" s="371" t="s">
        <v>448</v>
      </c>
      <c r="B71" s="384" t="e">
        <v>#DIV/0!</v>
      </c>
      <c r="C71" s="385" t="e">
        <v>#DIV/0!</v>
      </c>
      <c r="D71" s="345" t="e">
        <v>#DIV/0!</v>
      </c>
      <c r="E71" s="381">
        <v>0.11481481481481481</v>
      </c>
      <c r="F71" s="381">
        <v>0.1118421052631579</v>
      </c>
      <c r="G71" s="381">
        <v>0.12643678160919541</v>
      </c>
      <c r="H71" s="390">
        <f>(G71-E71)/E71</f>
        <v>0.10122358175750845</v>
      </c>
      <c r="I71" s="398"/>
      <c r="L71" s="357"/>
      <c r="M71" s="357"/>
      <c r="N71" s="357"/>
      <c r="O71" s="357"/>
      <c r="P71" s="357"/>
    </row>
    <row r="72" spans="1:16">
      <c r="A72" s="371" t="s">
        <v>534</v>
      </c>
      <c r="B72" s="384"/>
      <c r="C72" s="385"/>
      <c r="D72" s="345"/>
      <c r="E72" s="385"/>
      <c r="F72" s="385"/>
      <c r="G72" s="385"/>
      <c r="H72" s="345"/>
      <c r="I72" s="398"/>
      <c r="L72" s="375">
        <v>4</v>
      </c>
      <c r="M72" s="375" t="s">
        <v>518</v>
      </c>
      <c r="N72" s="375" t="s">
        <v>535</v>
      </c>
      <c r="O72" s="375"/>
      <c r="P72" s="357"/>
    </row>
    <row r="73" spans="1:16">
      <c r="A73" s="405" t="s">
        <v>536</v>
      </c>
      <c r="B73" s="384"/>
      <c r="C73" s="385"/>
      <c r="D73" s="345"/>
      <c r="E73" s="385"/>
      <c r="F73" s="385"/>
      <c r="G73" s="385"/>
      <c r="H73" s="345"/>
      <c r="I73" s="398"/>
      <c r="L73" s="375">
        <v>4</v>
      </c>
      <c r="M73" s="375" t="s">
        <v>518</v>
      </c>
      <c r="N73" s="375" t="s">
        <v>537</v>
      </c>
      <c r="O73" s="375"/>
      <c r="P73" s="357"/>
    </row>
    <row r="74" spans="1:16">
      <c r="A74" s="371" t="s">
        <v>538</v>
      </c>
      <c r="B74" s="384"/>
      <c r="C74" s="385"/>
      <c r="D74" s="345"/>
      <c r="E74" s="385"/>
      <c r="F74" s="385"/>
      <c r="G74" s="385"/>
      <c r="H74" s="345"/>
      <c r="I74" s="398"/>
      <c r="L74" s="375">
        <v>4</v>
      </c>
      <c r="M74" s="375" t="s">
        <v>518</v>
      </c>
      <c r="N74" s="375" t="s">
        <v>539</v>
      </c>
      <c r="O74" s="375"/>
      <c r="P74" s="357"/>
    </row>
    <row r="75" spans="1:16">
      <c r="A75" s="371" t="s">
        <v>540</v>
      </c>
      <c r="B75" s="384"/>
      <c r="C75" s="385"/>
      <c r="D75" s="345"/>
      <c r="E75" s="385"/>
      <c r="F75" s="385"/>
      <c r="G75" s="385"/>
      <c r="H75" s="345"/>
      <c r="I75" s="398"/>
      <c r="L75" s="375" t="s">
        <v>541</v>
      </c>
      <c r="M75" s="375"/>
      <c r="N75" s="406" t="s">
        <v>542</v>
      </c>
      <c r="O75" s="375"/>
      <c r="P75" s="357"/>
    </row>
    <row r="76" spans="1:16">
      <c r="A76" s="371" t="s">
        <v>543</v>
      </c>
      <c r="B76" s="384"/>
      <c r="C76" s="385"/>
      <c r="D76" s="345"/>
      <c r="E76" s="385"/>
      <c r="F76" s="385"/>
      <c r="G76" s="385"/>
      <c r="H76" s="345"/>
      <c r="I76" s="398"/>
    </row>
    <row r="77" spans="1:16">
      <c r="A77" s="407" t="s">
        <v>544</v>
      </c>
      <c r="B77" s="401"/>
      <c r="C77" s="402"/>
      <c r="D77" s="403"/>
      <c r="E77" s="402"/>
      <c r="F77" s="402"/>
      <c r="G77" s="402"/>
      <c r="H77" s="403"/>
      <c r="I77" s="404"/>
    </row>
    <row r="78" spans="1:16">
      <c r="A78" s="91"/>
      <c r="B78" s="92"/>
      <c r="C78" s="91"/>
      <c r="E78" s="91"/>
      <c r="F78" s="91"/>
      <c r="G78" s="91"/>
    </row>
    <row r="79" spans="1:16">
      <c r="A79" s="316" t="s">
        <v>20</v>
      </c>
      <c r="B79" s="314"/>
      <c r="C79" s="313"/>
      <c r="D79" s="62"/>
      <c r="E79" s="313"/>
      <c r="F79" s="91"/>
      <c r="G79" s="91"/>
    </row>
    <row r="80" spans="1:16">
      <c r="A80" s="408" t="s">
        <v>545</v>
      </c>
      <c r="B80" s="377"/>
      <c r="C80" s="378"/>
      <c r="D80" s="379"/>
      <c r="E80" s="378"/>
      <c r="F80" s="393"/>
      <c r="G80" s="393"/>
      <c r="H80" s="394"/>
      <c r="I80" s="297"/>
      <c r="L80" s="375">
        <v>4</v>
      </c>
      <c r="M80" s="375" t="s">
        <v>518</v>
      </c>
      <c r="N80" s="375" t="s">
        <v>546</v>
      </c>
      <c r="O80" s="375"/>
      <c r="P80" s="357"/>
    </row>
    <row r="81" spans="1:16">
      <c r="A81" s="386" t="s">
        <v>502</v>
      </c>
      <c r="B81" s="372"/>
      <c r="C81" s="373"/>
      <c r="D81" s="374"/>
      <c r="E81" s="373"/>
      <c r="F81" s="385"/>
      <c r="G81" s="385"/>
      <c r="H81" s="345"/>
      <c r="I81" s="287"/>
      <c r="L81" s="375">
        <v>4</v>
      </c>
      <c r="M81" s="375" t="str">
        <f>M80</f>
        <v>points</v>
      </c>
      <c r="N81" s="375" t="s">
        <v>503</v>
      </c>
      <c r="O81" s="375"/>
      <c r="P81" s="357"/>
    </row>
    <row r="82" spans="1:16">
      <c r="A82" s="386" t="s">
        <v>504</v>
      </c>
      <c r="B82" s="372"/>
      <c r="C82" s="373"/>
      <c r="D82" s="374"/>
      <c r="E82" s="373"/>
      <c r="F82" s="385"/>
      <c r="G82" s="385"/>
      <c r="H82" s="345"/>
      <c r="I82" s="287"/>
      <c r="L82" s="375">
        <v>4</v>
      </c>
      <c r="M82" s="375" t="str">
        <f>M81</f>
        <v>points</v>
      </c>
      <c r="N82" s="375" t="s">
        <v>505</v>
      </c>
      <c r="O82" s="375"/>
      <c r="P82" s="357"/>
    </row>
    <row r="83" spans="1:16">
      <c r="A83" s="386" t="s">
        <v>506</v>
      </c>
      <c r="B83" s="372"/>
      <c r="C83" s="373"/>
      <c r="D83" s="374"/>
      <c r="E83" s="373"/>
      <c r="F83" s="385"/>
      <c r="G83" s="385"/>
      <c r="H83" s="345"/>
      <c r="I83" s="287"/>
      <c r="L83" s="375">
        <v>1</v>
      </c>
      <c r="M83" s="375" t="str">
        <f>M82</f>
        <v>points</v>
      </c>
      <c r="N83" s="375" t="s">
        <v>507</v>
      </c>
      <c r="O83" s="375"/>
      <c r="P83" s="357"/>
    </row>
    <row r="84" spans="1:16">
      <c r="A84" s="386" t="s">
        <v>566</v>
      </c>
      <c r="B84" s="372"/>
      <c r="C84" s="373"/>
      <c r="D84" s="374"/>
      <c r="E84" s="373"/>
      <c r="F84" s="385"/>
      <c r="G84" s="385"/>
      <c r="H84" s="345"/>
      <c r="I84" s="287"/>
      <c r="L84" s="375" t="s">
        <v>21</v>
      </c>
      <c r="M84" s="375"/>
      <c r="N84" s="375"/>
      <c r="O84" s="375"/>
      <c r="P84" s="357"/>
    </row>
    <row r="85" spans="1:16">
      <c r="A85" s="386" t="s">
        <v>567</v>
      </c>
      <c r="B85" s="372"/>
      <c r="C85" s="373"/>
      <c r="D85" s="374"/>
      <c r="E85" s="373"/>
      <c r="F85" s="385"/>
      <c r="G85" s="385"/>
      <c r="H85" s="345"/>
      <c r="I85" s="287"/>
      <c r="L85" s="375"/>
      <c r="M85" s="375"/>
      <c r="N85" s="375"/>
      <c r="O85" s="375"/>
      <c r="P85" s="357"/>
    </row>
    <row r="86" spans="1:16">
      <c r="A86" s="386"/>
      <c r="B86" s="372"/>
      <c r="C86" s="373"/>
      <c r="D86" s="374"/>
      <c r="E86" s="373"/>
      <c r="F86" s="385"/>
      <c r="G86" s="385"/>
      <c r="H86" s="345"/>
      <c r="I86" s="287"/>
      <c r="L86" s="375" t="s">
        <v>0</v>
      </c>
      <c r="M86" s="375"/>
      <c r="N86" s="375"/>
      <c r="O86" s="375"/>
      <c r="P86" s="357"/>
    </row>
    <row r="87" spans="1:16">
      <c r="A87" s="386" t="s">
        <v>568</v>
      </c>
      <c r="B87" s="372"/>
      <c r="C87" s="373"/>
      <c r="D87" s="374"/>
      <c r="E87" s="373"/>
      <c r="F87" s="385"/>
      <c r="G87" s="385"/>
      <c r="H87" s="345"/>
      <c r="I87" s="287"/>
      <c r="L87" s="375"/>
      <c r="M87" s="375"/>
      <c r="N87" s="375"/>
      <c r="O87" s="375"/>
      <c r="P87" s="357"/>
    </row>
    <row r="88" spans="1:16">
      <c r="A88" s="400" t="s">
        <v>569</v>
      </c>
      <c r="B88" s="409"/>
      <c r="C88" s="410"/>
      <c r="D88" s="411"/>
      <c r="E88" s="410"/>
      <c r="F88" s="402"/>
      <c r="G88" s="402"/>
      <c r="H88" s="403"/>
      <c r="I88" s="326"/>
      <c r="M88" s="375"/>
      <c r="N88" s="375"/>
      <c r="O88" s="375"/>
      <c r="P88" s="357"/>
    </row>
    <row r="89" spans="1:16">
      <c r="A89" s="319"/>
      <c r="B89" s="318"/>
      <c r="C89" s="319"/>
      <c r="D89" s="320"/>
      <c r="E89" s="319"/>
      <c r="F89" s="329"/>
      <c r="G89" s="329"/>
      <c r="H89" s="257"/>
    </row>
    <row r="90" spans="1:16">
      <c r="A90" s="91" t="s">
        <v>570</v>
      </c>
      <c r="B90" s="92"/>
      <c r="C90" s="91"/>
      <c r="E90" s="91"/>
      <c r="F90" s="91"/>
      <c r="G90" s="91"/>
    </row>
    <row r="91" spans="1:16">
      <c r="A91" s="91"/>
      <c r="B91" s="92"/>
      <c r="C91" s="91"/>
      <c r="E91" s="91"/>
      <c r="F91" s="91"/>
      <c r="G91" s="91"/>
    </row>
    <row r="92" spans="1:16">
      <c r="A92" s="88" t="s">
        <v>1</v>
      </c>
      <c r="B92" s="88"/>
      <c r="C92" s="88" t="s">
        <v>106</v>
      </c>
      <c r="D92" s="93" t="s">
        <v>106</v>
      </c>
      <c r="E92" s="93" t="s">
        <v>396</v>
      </c>
      <c r="F92" s="93"/>
      <c r="G92" s="93"/>
      <c r="H92" s="86" t="s">
        <v>2</v>
      </c>
      <c r="I92" s="86"/>
      <c r="J92" s="86"/>
      <c r="K92" s="86"/>
    </row>
    <row r="93" spans="1:16">
      <c r="A93" s="91" t="s">
        <v>106</v>
      </c>
      <c r="B93" s="91" t="s">
        <v>235</v>
      </c>
      <c r="C93" s="91"/>
      <c r="H93" s="86"/>
      <c r="I93" s="86" t="s">
        <v>3</v>
      </c>
      <c r="J93" s="86"/>
      <c r="K93" s="86"/>
    </row>
    <row r="94" spans="1:16">
      <c r="A94" s="98" t="s">
        <v>220</v>
      </c>
      <c r="B94" s="93">
        <f t="shared" ref="B94:D95" si="1">C94-1</f>
        <v>-5</v>
      </c>
      <c r="C94" s="93">
        <f t="shared" si="1"/>
        <v>-4</v>
      </c>
      <c r="D94" s="93">
        <f t="shared" si="1"/>
        <v>-3</v>
      </c>
      <c r="E94" s="99">
        <f>F94-1</f>
        <v>-2</v>
      </c>
      <c r="F94" s="99">
        <f>G94-1</f>
        <v>-1</v>
      </c>
      <c r="G94" s="100">
        <v>0</v>
      </c>
      <c r="H94" s="86"/>
      <c r="I94" s="86" t="s">
        <v>4</v>
      </c>
      <c r="J94" s="86"/>
      <c r="K94" s="86"/>
    </row>
    <row r="95" spans="1:16">
      <c r="A95" s="103" t="s">
        <v>221</v>
      </c>
      <c r="B95" s="104">
        <f t="shared" si="1"/>
        <v>1998</v>
      </c>
      <c r="C95" s="104">
        <f t="shared" si="1"/>
        <v>1999</v>
      </c>
      <c r="D95" s="104">
        <f t="shared" si="1"/>
        <v>2000</v>
      </c>
      <c r="E95" s="104">
        <f>F95-1</f>
        <v>2001</v>
      </c>
      <c r="F95" s="105">
        <f>G95-1</f>
        <v>2002</v>
      </c>
      <c r="G95" s="106">
        <v>2003</v>
      </c>
    </row>
    <row r="96" spans="1:16">
      <c r="A96" s="90"/>
      <c r="B96" s="90"/>
      <c r="C96" s="90"/>
      <c r="D96" s="90"/>
      <c r="E96" s="88"/>
      <c r="F96" s="88"/>
    </row>
    <row r="97" spans="1:7">
      <c r="A97" s="90" t="s">
        <v>174</v>
      </c>
      <c r="B97" s="412">
        <v>0</v>
      </c>
      <c r="C97" s="412">
        <v>0</v>
      </c>
      <c r="D97" s="412">
        <v>0</v>
      </c>
      <c r="E97" s="412">
        <v>1697</v>
      </c>
      <c r="F97" s="412">
        <v>2013</v>
      </c>
      <c r="G97" s="412">
        <v>2694</v>
      </c>
    </row>
    <row r="98" spans="1:7">
      <c r="A98" s="113" t="s">
        <v>321</v>
      </c>
      <c r="B98" s="413">
        <v>0</v>
      </c>
      <c r="C98" s="413">
        <v>0</v>
      </c>
      <c r="D98" s="413">
        <v>0</v>
      </c>
      <c r="E98" s="413">
        <v>1222</v>
      </c>
      <c r="F98" s="413">
        <v>1437</v>
      </c>
      <c r="G98" s="413">
        <v>1950</v>
      </c>
    </row>
    <row r="99" spans="1:7">
      <c r="A99" s="90" t="s">
        <v>317</v>
      </c>
      <c r="B99" s="414">
        <f>B97+B98</f>
        <v>0</v>
      </c>
      <c r="C99" s="414">
        <f>C97+C98</f>
        <v>0</v>
      </c>
      <c r="D99" s="414">
        <f>D97+D98</f>
        <v>0</v>
      </c>
      <c r="E99" s="414">
        <f>E97-E98</f>
        <v>475</v>
      </c>
      <c r="F99" s="414">
        <f>F97-F98</f>
        <v>576</v>
      </c>
      <c r="G99" s="414">
        <f>G97-G98</f>
        <v>744</v>
      </c>
    </row>
    <row r="100" spans="1:7">
      <c r="A100" s="90" t="s">
        <v>314</v>
      </c>
      <c r="B100" s="412">
        <v>0</v>
      </c>
      <c r="C100" s="412">
        <v>0</v>
      </c>
      <c r="D100" s="412">
        <v>0</v>
      </c>
      <c r="E100" s="412">
        <v>0</v>
      </c>
      <c r="F100" s="412">
        <v>0</v>
      </c>
      <c r="G100" s="412">
        <v>0</v>
      </c>
    </row>
    <row r="101" spans="1:7">
      <c r="A101" s="90" t="s">
        <v>225</v>
      </c>
      <c r="B101" s="412">
        <v>0</v>
      </c>
      <c r="C101" s="412">
        <v>0</v>
      </c>
      <c r="D101" s="412">
        <v>0</v>
      </c>
      <c r="E101" s="412">
        <v>425</v>
      </c>
      <c r="F101" s="412">
        <v>515</v>
      </c>
      <c r="G101" s="412">
        <v>658</v>
      </c>
    </row>
    <row r="102" spans="1:7">
      <c r="A102" s="90" t="s">
        <v>227</v>
      </c>
      <c r="B102" s="412">
        <v>0</v>
      </c>
      <c r="C102" s="412">
        <v>0</v>
      </c>
      <c r="D102" s="412">
        <v>0</v>
      </c>
      <c r="E102" s="412">
        <v>0</v>
      </c>
      <c r="F102" s="412">
        <v>0</v>
      </c>
      <c r="G102" s="412">
        <v>0</v>
      </c>
    </row>
    <row r="103" spans="1:7">
      <c r="A103" s="90" t="s">
        <v>228</v>
      </c>
      <c r="B103" s="412">
        <v>0</v>
      </c>
      <c r="C103" s="412">
        <v>0</v>
      </c>
      <c r="D103" s="412">
        <v>0</v>
      </c>
      <c r="E103" s="412">
        <v>0</v>
      </c>
      <c r="F103" s="412">
        <v>0</v>
      </c>
      <c r="G103" s="412">
        <v>0</v>
      </c>
    </row>
    <row r="104" spans="1:7">
      <c r="A104" s="90" t="s">
        <v>230</v>
      </c>
      <c r="B104" s="412">
        <v>0</v>
      </c>
      <c r="C104" s="412">
        <v>0</v>
      </c>
      <c r="D104" s="412">
        <v>0</v>
      </c>
      <c r="E104" s="412">
        <v>0</v>
      </c>
      <c r="F104" s="412">
        <v>0</v>
      </c>
      <c r="G104" s="412">
        <v>0</v>
      </c>
    </row>
    <row r="105" spans="1:7">
      <c r="A105" s="113" t="s">
        <v>231</v>
      </c>
      <c r="B105" s="413">
        <v>0</v>
      </c>
      <c r="C105" s="413">
        <v>0</v>
      </c>
      <c r="D105" s="413">
        <v>0</v>
      </c>
      <c r="E105" s="413">
        <v>0</v>
      </c>
      <c r="F105" s="413">
        <v>0</v>
      </c>
      <c r="G105" s="413">
        <v>0</v>
      </c>
    </row>
    <row r="106" spans="1:7">
      <c r="A106" s="90" t="s">
        <v>343</v>
      </c>
      <c r="B106" s="414">
        <f t="shared" ref="B106:G106" si="2">B98+SUM(B100:B105)</f>
        <v>0</v>
      </c>
      <c r="C106" s="414">
        <f t="shared" si="2"/>
        <v>0</v>
      </c>
      <c r="D106" s="414">
        <f t="shared" si="2"/>
        <v>0</v>
      </c>
      <c r="E106" s="414">
        <f t="shared" si="2"/>
        <v>1647</v>
      </c>
      <c r="F106" s="414">
        <f t="shared" si="2"/>
        <v>1952</v>
      </c>
      <c r="G106" s="414">
        <f t="shared" si="2"/>
        <v>2608</v>
      </c>
    </row>
    <row r="107" spans="1:7">
      <c r="A107" s="113" t="s">
        <v>344</v>
      </c>
      <c r="B107" s="415">
        <f>B97+B106</f>
        <v>0</v>
      </c>
      <c r="C107" s="415">
        <f>C97+C106</f>
        <v>0</v>
      </c>
      <c r="D107" s="415">
        <f>D97+D106</f>
        <v>0</v>
      </c>
      <c r="E107" s="415">
        <f>E97-E106</f>
        <v>50</v>
      </c>
      <c r="F107" s="415">
        <f>F97-F106</f>
        <v>61</v>
      </c>
      <c r="G107" s="415">
        <f>G97-G106</f>
        <v>86</v>
      </c>
    </row>
    <row r="108" spans="1:7">
      <c r="A108" s="90" t="s">
        <v>346</v>
      </c>
      <c r="B108" s="412">
        <v>0</v>
      </c>
      <c r="C108" s="412">
        <v>0</v>
      </c>
      <c r="D108" s="412">
        <v>0</v>
      </c>
      <c r="E108" s="412">
        <v>13</v>
      </c>
      <c r="F108" s="412">
        <v>20</v>
      </c>
      <c r="G108" s="412">
        <v>33</v>
      </c>
    </row>
    <row r="109" spans="1:7">
      <c r="A109" s="90" t="s">
        <v>347</v>
      </c>
      <c r="B109" s="412">
        <v>0</v>
      </c>
      <c r="C109" s="412">
        <v>0</v>
      </c>
      <c r="D109" s="412">
        <v>0</v>
      </c>
      <c r="E109" s="412">
        <v>0</v>
      </c>
      <c r="F109" s="412">
        <v>0</v>
      </c>
      <c r="G109" s="412">
        <v>0</v>
      </c>
    </row>
    <row r="110" spans="1:7">
      <c r="A110" s="113" t="s">
        <v>348</v>
      </c>
      <c r="B110" s="413">
        <v>0</v>
      </c>
      <c r="C110" s="413">
        <v>0</v>
      </c>
      <c r="D110" s="413">
        <v>0</v>
      </c>
      <c r="E110" s="413">
        <v>0</v>
      </c>
      <c r="F110" s="413">
        <v>0</v>
      </c>
      <c r="G110" s="413">
        <v>0</v>
      </c>
    </row>
    <row r="111" spans="1:7">
      <c r="A111" s="90" t="s">
        <v>298</v>
      </c>
      <c r="B111" s="414">
        <f>SUM(B107:B110)</f>
        <v>0</v>
      </c>
      <c r="C111" s="414">
        <f>SUM(C107:C110)</f>
        <v>0</v>
      </c>
      <c r="D111" s="414">
        <f>SUM(D107:D110)</f>
        <v>0</v>
      </c>
      <c r="E111" s="414">
        <f>E107-E108+E109-E110</f>
        <v>37</v>
      </c>
      <c r="F111" s="414">
        <f>F107-F108+F109-F110</f>
        <v>41</v>
      </c>
      <c r="G111" s="414">
        <f>G107-G108+G109-G110</f>
        <v>53</v>
      </c>
    </row>
    <row r="112" spans="1:7">
      <c r="A112" s="113" t="s">
        <v>181</v>
      </c>
      <c r="B112" s="413">
        <v>0</v>
      </c>
      <c r="C112" s="413">
        <v>0</v>
      </c>
      <c r="D112" s="413">
        <v>0</v>
      </c>
      <c r="E112" s="413">
        <v>6</v>
      </c>
      <c r="F112" s="413">
        <v>7</v>
      </c>
      <c r="G112" s="413">
        <v>9</v>
      </c>
    </row>
    <row r="113" spans="1:7">
      <c r="A113" s="90" t="s">
        <v>350</v>
      </c>
      <c r="B113" s="414">
        <f>SUM(B111:B112)</f>
        <v>0</v>
      </c>
      <c r="C113" s="414">
        <f>SUM(C111:C112)</f>
        <v>0</v>
      </c>
      <c r="D113" s="414">
        <f>SUM(D111:D112)</f>
        <v>0</v>
      </c>
      <c r="E113" s="414">
        <f>E111-E112</f>
        <v>31</v>
      </c>
      <c r="F113" s="414">
        <f>F111-F112</f>
        <v>34</v>
      </c>
      <c r="G113" s="414">
        <f>G111-G112</f>
        <v>44</v>
      </c>
    </row>
    <row r="114" spans="1:7">
      <c r="A114" s="90" t="s">
        <v>351</v>
      </c>
      <c r="B114" s="412">
        <v>0</v>
      </c>
      <c r="C114" s="412">
        <v>0</v>
      </c>
      <c r="D114" s="412">
        <v>0</v>
      </c>
      <c r="E114" s="412">
        <v>0</v>
      </c>
      <c r="F114" s="412">
        <v>0</v>
      </c>
      <c r="G114" s="412">
        <v>0</v>
      </c>
    </row>
    <row r="115" spans="1:7">
      <c r="A115" s="113" t="s">
        <v>352</v>
      </c>
      <c r="B115" s="413">
        <v>0</v>
      </c>
      <c r="C115" s="413">
        <v>0</v>
      </c>
      <c r="D115" s="413">
        <v>0</v>
      </c>
      <c r="E115" s="413">
        <v>0</v>
      </c>
      <c r="F115" s="413">
        <v>0</v>
      </c>
      <c r="G115" s="413">
        <v>0</v>
      </c>
    </row>
    <row r="116" spans="1:7">
      <c r="A116" s="90" t="s">
        <v>353</v>
      </c>
      <c r="B116" s="414">
        <f t="shared" ref="B116:G116" si="3">SUM(B113:B115)</f>
        <v>0</v>
      </c>
      <c r="C116" s="414">
        <f t="shared" si="3"/>
        <v>0</v>
      </c>
      <c r="D116" s="414">
        <f t="shared" si="3"/>
        <v>0</v>
      </c>
      <c r="E116" s="414">
        <f t="shared" si="3"/>
        <v>31</v>
      </c>
      <c r="F116" s="414">
        <f t="shared" si="3"/>
        <v>34</v>
      </c>
      <c r="G116" s="414">
        <f t="shared" si="3"/>
        <v>44</v>
      </c>
    </row>
    <row r="117" spans="1:7">
      <c r="A117" s="90" t="s">
        <v>171</v>
      </c>
      <c r="B117" s="412">
        <v>0</v>
      </c>
      <c r="C117" s="412">
        <v>0</v>
      </c>
      <c r="D117" s="412">
        <v>0</v>
      </c>
      <c r="E117" s="412">
        <v>0</v>
      </c>
      <c r="F117" s="412">
        <v>0</v>
      </c>
      <c r="G117" s="412">
        <v>0</v>
      </c>
    </row>
    <row r="118" spans="1:7">
      <c r="A118" s="113" t="s">
        <v>355</v>
      </c>
      <c r="B118" s="413">
        <v>0</v>
      </c>
      <c r="C118" s="413">
        <v>0</v>
      </c>
      <c r="D118" s="413">
        <v>0</v>
      </c>
      <c r="E118" s="413">
        <v>0</v>
      </c>
      <c r="F118" s="413">
        <v>0</v>
      </c>
      <c r="G118" s="413">
        <v>0</v>
      </c>
    </row>
    <row r="119" spans="1:7">
      <c r="A119" s="90" t="s">
        <v>169</v>
      </c>
      <c r="B119" s="414">
        <f t="shared" ref="B119:G119" si="4">SUM(B116:B118)</f>
        <v>0</v>
      </c>
      <c r="C119" s="414">
        <f t="shared" si="4"/>
        <v>0</v>
      </c>
      <c r="D119" s="414">
        <f t="shared" si="4"/>
        <v>0</v>
      </c>
      <c r="E119" s="414">
        <f t="shared" si="4"/>
        <v>31</v>
      </c>
      <c r="F119" s="414">
        <f t="shared" si="4"/>
        <v>34</v>
      </c>
      <c r="G119" s="414">
        <f t="shared" si="4"/>
        <v>44</v>
      </c>
    </row>
    <row r="120" spans="1:7">
      <c r="A120" s="90"/>
      <c r="B120" s="90"/>
      <c r="C120" s="90"/>
      <c r="D120" s="416"/>
      <c r="E120" s="416"/>
      <c r="F120" s="416"/>
      <c r="G120" s="416"/>
    </row>
    <row r="121" spans="1:7">
      <c r="A121" s="88" t="s">
        <v>356</v>
      </c>
      <c r="B121" s="88"/>
      <c r="C121" s="88"/>
      <c r="D121" s="416"/>
      <c r="E121" s="416"/>
      <c r="F121" s="416"/>
      <c r="G121" s="416"/>
    </row>
    <row r="122" spans="1:7">
      <c r="A122" s="90" t="s">
        <v>357</v>
      </c>
      <c r="B122" s="417">
        <v>0</v>
      </c>
      <c r="C122" s="417">
        <v>0</v>
      </c>
      <c r="D122" s="417">
        <v>0</v>
      </c>
      <c r="E122" s="418">
        <v>0</v>
      </c>
      <c r="F122" s="418">
        <v>0</v>
      </c>
      <c r="G122" s="418">
        <v>0</v>
      </c>
    </row>
    <row r="123" spans="1:7">
      <c r="A123" s="90" t="s">
        <v>358</v>
      </c>
      <c r="B123" s="419" t="e">
        <f t="shared" ref="B123:G123" si="5">(B105+B110+B114+B115)/B128</f>
        <v>#DIV/0!</v>
      </c>
      <c r="C123" s="419" t="e">
        <f t="shared" si="5"/>
        <v>#DIV/0!</v>
      </c>
      <c r="D123" s="419" t="e">
        <f t="shared" si="5"/>
        <v>#DIV/0!</v>
      </c>
      <c r="E123" s="420" t="e">
        <f t="shared" si="5"/>
        <v>#DIV/0!</v>
      </c>
      <c r="F123" s="420" t="e">
        <f t="shared" si="5"/>
        <v>#DIV/0!</v>
      </c>
      <c r="G123" s="420" t="e">
        <f t="shared" si="5"/>
        <v>#DIV/0!</v>
      </c>
    </row>
    <row r="124" spans="1:7">
      <c r="A124" s="90" t="s">
        <v>359</v>
      </c>
      <c r="B124" s="419" t="e">
        <f t="shared" ref="B124:G124" si="6">B116/B128</f>
        <v>#DIV/0!</v>
      </c>
      <c r="C124" s="419" t="e">
        <f t="shared" si="6"/>
        <v>#DIV/0!</v>
      </c>
      <c r="D124" s="419" t="e">
        <f t="shared" si="6"/>
        <v>#DIV/0!</v>
      </c>
      <c r="E124" s="420" t="e">
        <f t="shared" si="6"/>
        <v>#DIV/0!</v>
      </c>
      <c r="F124" s="420" t="e">
        <f t="shared" si="6"/>
        <v>#DIV/0!</v>
      </c>
      <c r="G124" s="420" t="e">
        <f t="shared" si="6"/>
        <v>#DIV/0!</v>
      </c>
    </row>
    <row r="125" spans="1:7">
      <c r="A125" s="90" t="s">
        <v>360</v>
      </c>
      <c r="B125" s="417" t="s">
        <v>106</v>
      </c>
      <c r="C125" s="417" t="s">
        <v>106</v>
      </c>
      <c r="D125" s="417" t="s">
        <v>106</v>
      </c>
      <c r="E125" s="418">
        <v>0</v>
      </c>
      <c r="F125" s="418">
        <v>0</v>
      </c>
      <c r="G125" s="418">
        <v>0</v>
      </c>
    </row>
    <row r="126" spans="1:7">
      <c r="A126" s="90" t="s">
        <v>361</v>
      </c>
      <c r="B126" s="419" t="e">
        <f t="shared" ref="B126:G126" si="7">-B117/B128</f>
        <v>#DIV/0!</v>
      </c>
      <c r="C126" s="419" t="e">
        <f t="shared" si="7"/>
        <v>#DIV/0!</v>
      </c>
      <c r="D126" s="419" t="e">
        <f t="shared" si="7"/>
        <v>#DIV/0!</v>
      </c>
      <c r="E126" s="420" t="e">
        <f t="shared" si="7"/>
        <v>#DIV/0!</v>
      </c>
      <c r="F126" s="420" t="e">
        <f t="shared" si="7"/>
        <v>#DIV/0!</v>
      </c>
      <c r="G126" s="420" t="e">
        <f t="shared" si="7"/>
        <v>#DIV/0!</v>
      </c>
    </row>
    <row r="127" spans="1:7">
      <c r="A127" s="90" t="s">
        <v>362</v>
      </c>
      <c r="B127" s="421" t="e">
        <f t="shared" ref="B127:G127" si="8">B122/B124</f>
        <v>#DIV/0!</v>
      </c>
      <c r="C127" s="421" t="e">
        <f t="shared" si="8"/>
        <v>#DIV/0!</v>
      </c>
      <c r="D127" s="421" t="e">
        <f t="shared" si="8"/>
        <v>#DIV/0!</v>
      </c>
      <c r="E127" s="421" t="e">
        <f t="shared" si="8"/>
        <v>#DIV/0!</v>
      </c>
      <c r="F127" s="421" t="e">
        <f t="shared" si="8"/>
        <v>#DIV/0!</v>
      </c>
      <c r="G127" s="421" t="e">
        <f t="shared" si="8"/>
        <v>#DIV/0!</v>
      </c>
    </row>
    <row r="128" spans="1:7">
      <c r="A128" s="90" t="s">
        <v>363</v>
      </c>
      <c r="B128" s="140">
        <v>0</v>
      </c>
      <c r="C128" s="140">
        <v>0</v>
      </c>
      <c r="D128" s="140">
        <v>0</v>
      </c>
      <c r="E128" s="140">
        <v>0</v>
      </c>
      <c r="F128" s="140">
        <v>0</v>
      </c>
      <c r="G128" s="140">
        <v>0</v>
      </c>
    </row>
    <row r="129" spans="1:7">
      <c r="A129" s="90"/>
      <c r="B129" s="90"/>
      <c r="C129" s="90"/>
      <c r="D129" s="90" t="s">
        <v>106</v>
      </c>
      <c r="E129" s="90" t="s">
        <v>106</v>
      </c>
      <c r="F129" s="90" t="s">
        <v>106</v>
      </c>
      <c r="G129" s="90" t="s">
        <v>106</v>
      </c>
    </row>
    <row r="130" spans="1:7">
      <c r="A130" s="88" t="s">
        <v>5</v>
      </c>
      <c r="B130" s="88"/>
      <c r="C130" s="88"/>
      <c r="D130" s="94"/>
      <c r="E130" s="94"/>
      <c r="F130" s="94"/>
      <c r="G130" s="94"/>
    </row>
    <row r="131" spans="1:7">
      <c r="B131" s="97" t="s">
        <v>364</v>
      </c>
      <c r="C131" s="97"/>
      <c r="D131" s="97"/>
      <c r="E131" s="97"/>
      <c r="F131" s="97"/>
      <c r="G131" s="97"/>
    </row>
    <row r="132" spans="1:7">
      <c r="A132" s="148" t="str">
        <f t="shared" ref="A132:G133" si="9">A94</f>
        <v>PERIOD</v>
      </c>
      <c r="B132" s="99">
        <f t="shared" si="9"/>
        <v>-5</v>
      </c>
      <c r="C132" s="99">
        <f t="shared" si="9"/>
        <v>-4</v>
      </c>
      <c r="D132" s="99">
        <f t="shared" si="9"/>
        <v>-3</v>
      </c>
      <c r="E132" s="99">
        <f t="shared" si="9"/>
        <v>-2</v>
      </c>
      <c r="F132" s="99">
        <f t="shared" si="9"/>
        <v>-1</v>
      </c>
      <c r="G132" s="99">
        <f t="shared" si="9"/>
        <v>0</v>
      </c>
    </row>
    <row r="133" spans="1:7">
      <c r="A133" s="98" t="s">
        <v>365</v>
      </c>
      <c r="B133" s="104">
        <f t="shared" si="9"/>
        <v>1998</v>
      </c>
      <c r="C133" s="104">
        <f t="shared" si="9"/>
        <v>1999</v>
      </c>
      <c r="D133" s="104">
        <f t="shared" si="9"/>
        <v>2000</v>
      </c>
      <c r="E133" s="104">
        <f t="shared" si="9"/>
        <v>2001</v>
      </c>
      <c r="F133" s="104">
        <f t="shared" si="9"/>
        <v>2002</v>
      </c>
      <c r="G133" s="104">
        <f t="shared" si="9"/>
        <v>2003</v>
      </c>
    </row>
    <row r="134" spans="1:7">
      <c r="A134" s="88" t="s">
        <v>215</v>
      </c>
      <c r="B134" s="88"/>
      <c r="C134" s="88"/>
      <c r="D134" s="88" t="s">
        <v>106</v>
      </c>
      <c r="E134" s="88" t="s">
        <v>106</v>
      </c>
      <c r="F134" s="88" t="s">
        <v>106</v>
      </c>
      <c r="G134" s="88" t="s">
        <v>106</v>
      </c>
    </row>
    <row r="135" spans="1:7">
      <c r="A135" s="88" t="s">
        <v>366</v>
      </c>
      <c r="B135" s="88"/>
      <c r="C135" s="88"/>
      <c r="D135" s="414"/>
      <c r="E135" s="414"/>
      <c r="F135" s="414"/>
      <c r="G135" s="414"/>
    </row>
    <row r="136" spans="1:7">
      <c r="A136" s="90" t="s">
        <v>367</v>
      </c>
      <c r="B136" s="422">
        <v>0</v>
      </c>
      <c r="C136" s="422">
        <v>0</v>
      </c>
      <c r="D136" s="422">
        <v>0</v>
      </c>
      <c r="E136" s="422">
        <v>58</v>
      </c>
      <c r="F136" s="422">
        <v>48</v>
      </c>
      <c r="G136" s="422">
        <v>41</v>
      </c>
    </row>
    <row r="137" spans="1:7">
      <c r="A137" s="90" t="s">
        <v>313</v>
      </c>
      <c r="B137" s="423">
        <v>0</v>
      </c>
      <c r="C137" s="423">
        <v>0</v>
      </c>
      <c r="D137" s="423">
        <v>0</v>
      </c>
      <c r="E137" s="423">
        <v>0</v>
      </c>
      <c r="F137" s="423">
        <v>0</v>
      </c>
      <c r="G137" s="423">
        <v>0</v>
      </c>
    </row>
    <row r="138" spans="1:7">
      <c r="A138" s="90" t="s">
        <v>309</v>
      </c>
      <c r="B138" s="423">
        <v>0</v>
      </c>
      <c r="C138" s="423">
        <v>0</v>
      </c>
      <c r="D138" s="423">
        <v>0</v>
      </c>
      <c r="E138" s="423">
        <v>171</v>
      </c>
      <c r="F138" s="423">
        <v>222</v>
      </c>
      <c r="G138" s="423">
        <v>317</v>
      </c>
    </row>
    <row r="139" spans="1:7">
      <c r="A139" s="90" t="s">
        <v>371</v>
      </c>
      <c r="B139" s="423">
        <v>0</v>
      </c>
      <c r="C139" s="423">
        <v>0</v>
      </c>
      <c r="D139" s="423">
        <v>0</v>
      </c>
      <c r="E139" s="423">
        <v>239</v>
      </c>
      <c r="F139" s="423">
        <v>326</v>
      </c>
      <c r="G139" s="423">
        <v>418</v>
      </c>
    </row>
    <row r="140" spans="1:7">
      <c r="A140" s="113" t="s">
        <v>355</v>
      </c>
      <c r="B140" s="424">
        <v>0</v>
      </c>
      <c r="C140" s="424">
        <v>0</v>
      </c>
      <c r="D140" s="424">
        <v>0</v>
      </c>
      <c r="E140" s="424">
        <v>0</v>
      </c>
      <c r="F140" s="424">
        <v>0</v>
      </c>
      <c r="G140" s="424">
        <v>0</v>
      </c>
    </row>
    <row r="141" spans="1:7">
      <c r="A141" s="90" t="s">
        <v>373</v>
      </c>
      <c r="B141" s="414">
        <f t="shared" ref="B141:G141" si="10">SUM(B136:B140)</f>
        <v>0</v>
      </c>
      <c r="C141" s="414">
        <f t="shared" si="10"/>
        <v>0</v>
      </c>
      <c r="D141" s="414">
        <f t="shared" si="10"/>
        <v>0</v>
      </c>
      <c r="E141" s="414">
        <f t="shared" si="10"/>
        <v>468</v>
      </c>
      <c r="F141" s="414">
        <f t="shared" si="10"/>
        <v>596</v>
      </c>
      <c r="G141" s="414">
        <f t="shared" si="10"/>
        <v>776</v>
      </c>
    </row>
    <row r="142" spans="1:7">
      <c r="A142" s="88" t="s">
        <v>374</v>
      </c>
      <c r="B142" s="90"/>
      <c r="C142" s="90"/>
      <c r="D142" s="90"/>
      <c r="E142" s="90"/>
      <c r="F142" s="90"/>
      <c r="G142" s="90"/>
    </row>
    <row r="143" spans="1:7">
      <c r="A143" s="90" t="s">
        <v>375</v>
      </c>
      <c r="B143" s="412">
        <v>0</v>
      </c>
      <c r="C143" s="412">
        <v>0</v>
      </c>
      <c r="D143" s="412">
        <v>0</v>
      </c>
      <c r="E143" s="412">
        <v>126</v>
      </c>
      <c r="F143" s="412">
        <v>140</v>
      </c>
      <c r="G143" s="412">
        <v>157</v>
      </c>
    </row>
    <row r="144" spans="1:7">
      <c r="A144" s="90" t="s">
        <v>377</v>
      </c>
      <c r="B144" s="413">
        <v>0</v>
      </c>
      <c r="C144" s="413">
        <v>0</v>
      </c>
      <c r="D144" s="413">
        <v>0</v>
      </c>
      <c r="E144" s="413">
        <v>0</v>
      </c>
      <c r="F144" s="413">
        <v>0</v>
      </c>
      <c r="G144" s="413">
        <v>0</v>
      </c>
    </row>
    <row r="145" spans="1:7">
      <c r="A145" s="90" t="s">
        <v>379</v>
      </c>
      <c r="B145" s="414">
        <f t="shared" ref="B145:G145" si="11">B143+B144</f>
        <v>0</v>
      </c>
      <c r="C145" s="414">
        <f t="shared" si="11"/>
        <v>0</v>
      </c>
      <c r="D145" s="414">
        <f t="shared" si="11"/>
        <v>0</v>
      </c>
      <c r="E145" s="414">
        <f t="shared" si="11"/>
        <v>126</v>
      </c>
      <c r="F145" s="414">
        <f t="shared" si="11"/>
        <v>140</v>
      </c>
      <c r="G145" s="414">
        <f t="shared" si="11"/>
        <v>157</v>
      </c>
    </row>
    <row r="146" spans="1:7">
      <c r="A146" s="90" t="s">
        <v>297</v>
      </c>
      <c r="B146" s="412">
        <v>0</v>
      </c>
      <c r="C146" s="412">
        <v>0</v>
      </c>
      <c r="D146" s="412">
        <v>0</v>
      </c>
      <c r="E146" s="412">
        <v>0</v>
      </c>
      <c r="F146" s="412">
        <v>0</v>
      </c>
      <c r="G146" s="412">
        <v>0</v>
      </c>
    </row>
    <row r="147" spans="1:7">
      <c r="A147" s="90" t="s">
        <v>180</v>
      </c>
      <c r="B147" s="412">
        <v>0</v>
      </c>
      <c r="C147" s="412">
        <v>0</v>
      </c>
      <c r="D147" s="412">
        <v>0</v>
      </c>
      <c r="E147" s="412">
        <v>0</v>
      </c>
      <c r="F147" s="412">
        <v>0</v>
      </c>
      <c r="G147" s="412">
        <v>0</v>
      </c>
    </row>
    <row r="148" spans="1:7">
      <c r="A148" s="90" t="s">
        <v>380</v>
      </c>
      <c r="B148" s="412">
        <v>0</v>
      </c>
      <c r="C148" s="412">
        <v>0</v>
      </c>
      <c r="D148" s="412">
        <v>0</v>
      </c>
      <c r="E148" s="412">
        <v>0</v>
      </c>
      <c r="F148" s="412">
        <v>0</v>
      </c>
      <c r="G148" s="412">
        <v>0</v>
      </c>
    </row>
    <row r="149" spans="1:7">
      <c r="A149" s="113" t="s">
        <v>381</v>
      </c>
      <c r="B149" s="413">
        <v>0</v>
      </c>
      <c r="C149" s="413">
        <v>0</v>
      </c>
      <c r="D149" s="413">
        <v>0</v>
      </c>
      <c r="E149" s="413">
        <v>0</v>
      </c>
      <c r="F149" s="413">
        <v>0</v>
      </c>
      <c r="G149" s="413">
        <v>0</v>
      </c>
    </row>
    <row r="150" spans="1:7">
      <c r="A150" s="158" t="s">
        <v>266</v>
      </c>
      <c r="B150" s="425">
        <f t="shared" ref="B150:G150" si="12">SUM(B145:B149)</f>
        <v>0</v>
      </c>
      <c r="C150" s="425">
        <f t="shared" si="12"/>
        <v>0</v>
      </c>
      <c r="D150" s="425">
        <f t="shared" si="12"/>
        <v>0</v>
      </c>
      <c r="E150" s="425">
        <f t="shared" si="12"/>
        <v>126</v>
      </c>
      <c r="F150" s="425">
        <f t="shared" si="12"/>
        <v>140</v>
      </c>
      <c r="G150" s="425">
        <f t="shared" si="12"/>
        <v>157</v>
      </c>
    </row>
    <row r="151" spans="1:7">
      <c r="A151" s="90" t="s">
        <v>267</v>
      </c>
      <c r="B151" s="414">
        <f t="shared" ref="B151:G151" si="13">B141+B150</f>
        <v>0</v>
      </c>
      <c r="C151" s="414">
        <f t="shared" si="13"/>
        <v>0</v>
      </c>
      <c r="D151" s="414">
        <f t="shared" si="13"/>
        <v>0</v>
      </c>
      <c r="E151" s="414">
        <f t="shared" si="13"/>
        <v>594</v>
      </c>
      <c r="F151" s="414">
        <f t="shared" si="13"/>
        <v>736</v>
      </c>
      <c r="G151" s="414">
        <f t="shared" si="13"/>
        <v>933</v>
      </c>
    </row>
    <row r="153" spans="1:7">
      <c r="A153" s="88" t="s">
        <v>323</v>
      </c>
      <c r="B153" s="88"/>
      <c r="C153" s="88"/>
      <c r="D153" s="414" t="s">
        <v>106</v>
      </c>
      <c r="E153" s="414" t="s">
        <v>106</v>
      </c>
      <c r="F153" s="414" t="s">
        <v>106</v>
      </c>
      <c r="G153" s="414" t="s">
        <v>106</v>
      </c>
    </row>
    <row r="154" spans="1:7">
      <c r="A154" s="88" t="s">
        <v>268</v>
      </c>
      <c r="B154" s="88"/>
      <c r="C154" s="88"/>
      <c r="D154" s="414"/>
      <c r="E154" s="414"/>
      <c r="F154" s="414"/>
      <c r="G154" s="414"/>
    </row>
    <row r="155" spans="1:7">
      <c r="A155" s="90" t="s">
        <v>269</v>
      </c>
      <c r="B155" s="412">
        <v>0</v>
      </c>
      <c r="C155" s="412">
        <v>0</v>
      </c>
      <c r="D155" s="412">
        <v>0</v>
      </c>
      <c r="E155" s="412">
        <v>124</v>
      </c>
      <c r="F155" s="412">
        <v>192</v>
      </c>
      <c r="G155" s="412">
        <v>256</v>
      </c>
    </row>
    <row r="156" spans="1:7">
      <c r="A156" s="90" t="s">
        <v>296</v>
      </c>
      <c r="B156" s="412">
        <v>0</v>
      </c>
      <c r="C156" s="412">
        <v>0</v>
      </c>
      <c r="D156" s="412">
        <v>0</v>
      </c>
      <c r="E156" s="412">
        <v>0</v>
      </c>
      <c r="F156" s="412">
        <v>0</v>
      </c>
      <c r="G156" s="412">
        <v>0</v>
      </c>
    </row>
    <row r="157" spans="1:7">
      <c r="A157" s="90" t="s">
        <v>308</v>
      </c>
      <c r="B157" s="412">
        <v>0</v>
      </c>
      <c r="C157" s="412">
        <v>0</v>
      </c>
      <c r="D157" s="412">
        <v>0</v>
      </c>
      <c r="E157" s="412">
        <v>0</v>
      </c>
      <c r="F157" s="412">
        <v>0</v>
      </c>
      <c r="G157" s="412">
        <v>0</v>
      </c>
    </row>
    <row r="158" spans="1:7">
      <c r="A158" s="90" t="s">
        <v>271</v>
      </c>
      <c r="B158" s="412">
        <v>0</v>
      </c>
      <c r="C158" s="412">
        <v>0</v>
      </c>
      <c r="D158" s="412">
        <v>0</v>
      </c>
      <c r="E158" s="426">
        <v>0</v>
      </c>
      <c r="F158" s="426">
        <v>0</v>
      </c>
      <c r="G158" s="426">
        <v>0</v>
      </c>
    </row>
    <row r="159" spans="1:7">
      <c r="A159" s="90" t="s">
        <v>272</v>
      </c>
      <c r="B159" s="426">
        <v>0</v>
      </c>
      <c r="C159" s="426">
        <v>0</v>
      </c>
      <c r="D159" s="426">
        <v>0</v>
      </c>
      <c r="E159" s="161">
        <v>112</v>
      </c>
      <c r="F159" s="161">
        <v>153</v>
      </c>
      <c r="G159" s="161">
        <v>240</v>
      </c>
    </row>
    <row r="160" spans="1:7">
      <c r="A160" s="113" t="s">
        <v>355</v>
      </c>
      <c r="B160" s="413">
        <v>0</v>
      </c>
      <c r="C160" s="413">
        <v>0</v>
      </c>
      <c r="D160" s="413">
        <v>0</v>
      </c>
      <c r="E160" s="413">
        <v>24</v>
      </c>
      <c r="F160" s="413">
        <v>30</v>
      </c>
      <c r="G160" s="413">
        <v>39</v>
      </c>
    </row>
    <row r="161" spans="1:7">
      <c r="A161" s="90" t="s">
        <v>263</v>
      </c>
      <c r="B161" s="414">
        <f t="shared" ref="B161:G161" si="14">SUM(B155:B160)</f>
        <v>0</v>
      </c>
      <c r="C161" s="414">
        <f t="shared" si="14"/>
        <v>0</v>
      </c>
      <c r="D161" s="414">
        <f t="shared" si="14"/>
        <v>0</v>
      </c>
      <c r="E161" s="414">
        <f t="shared" si="14"/>
        <v>260</v>
      </c>
      <c r="F161" s="414">
        <f t="shared" si="14"/>
        <v>375</v>
      </c>
      <c r="G161" s="414">
        <f t="shared" si="14"/>
        <v>535</v>
      </c>
    </row>
    <row r="162" spans="1:7">
      <c r="A162" s="88" t="s">
        <v>273</v>
      </c>
      <c r="B162" s="414"/>
      <c r="C162" s="414"/>
      <c r="D162" s="414"/>
      <c r="E162" s="414"/>
      <c r="F162" s="414"/>
      <c r="G162" s="414"/>
    </row>
    <row r="163" spans="1:7">
      <c r="A163" s="90" t="s">
        <v>296</v>
      </c>
      <c r="B163" s="412">
        <v>0</v>
      </c>
      <c r="C163" s="412">
        <v>0</v>
      </c>
      <c r="D163" s="412">
        <v>0</v>
      </c>
      <c r="E163" s="412">
        <v>0</v>
      </c>
      <c r="F163" s="412">
        <v>0</v>
      </c>
      <c r="G163" s="412">
        <v>0</v>
      </c>
    </row>
    <row r="164" spans="1:7">
      <c r="A164" s="90" t="s">
        <v>179</v>
      </c>
      <c r="B164" s="412">
        <v>0</v>
      </c>
      <c r="C164" s="412">
        <v>0</v>
      </c>
      <c r="D164" s="412">
        <v>0</v>
      </c>
      <c r="E164" s="412">
        <v>0</v>
      </c>
      <c r="F164" s="412">
        <v>0</v>
      </c>
      <c r="G164" s="412">
        <v>0</v>
      </c>
    </row>
    <row r="165" spans="1:7">
      <c r="A165" s="90" t="s">
        <v>274</v>
      </c>
      <c r="B165" s="412">
        <v>0</v>
      </c>
      <c r="C165" s="412">
        <v>0</v>
      </c>
      <c r="D165" s="412">
        <v>0</v>
      </c>
      <c r="E165" s="412">
        <v>0</v>
      </c>
      <c r="F165" s="412">
        <v>0</v>
      </c>
      <c r="G165" s="412">
        <v>0</v>
      </c>
    </row>
    <row r="166" spans="1:7">
      <c r="A166" s="90" t="s">
        <v>275</v>
      </c>
      <c r="B166" s="426">
        <v>0</v>
      </c>
      <c r="C166" s="426">
        <v>0</v>
      </c>
      <c r="D166" s="426">
        <v>0</v>
      </c>
      <c r="E166" s="426">
        <v>64</v>
      </c>
      <c r="F166" s="426">
        <v>57</v>
      </c>
      <c r="G166" s="426">
        <v>50</v>
      </c>
    </row>
    <row r="167" spans="1:7">
      <c r="A167" s="113" t="s">
        <v>355</v>
      </c>
      <c r="B167" s="413">
        <v>0</v>
      </c>
      <c r="C167" s="413">
        <v>0</v>
      </c>
      <c r="D167" s="413">
        <v>0</v>
      </c>
      <c r="E167" s="413">
        <v>0</v>
      </c>
      <c r="F167" s="413">
        <v>0</v>
      </c>
      <c r="G167" s="413">
        <v>0</v>
      </c>
    </row>
    <row r="168" spans="1:7">
      <c r="A168" s="158" t="s">
        <v>276</v>
      </c>
      <c r="B168" s="425">
        <f t="shared" ref="B168:G168" si="15">SUM(B163:B167)</f>
        <v>0</v>
      </c>
      <c r="C168" s="425">
        <f t="shared" si="15"/>
        <v>0</v>
      </c>
      <c r="D168" s="425">
        <f t="shared" si="15"/>
        <v>0</v>
      </c>
      <c r="E168" s="425">
        <f t="shared" si="15"/>
        <v>64</v>
      </c>
      <c r="F168" s="425">
        <f t="shared" si="15"/>
        <v>57</v>
      </c>
      <c r="G168" s="425">
        <f t="shared" si="15"/>
        <v>50</v>
      </c>
    </row>
    <row r="169" spans="1:7">
      <c r="A169" s="113" t="s">
        <v>261</v>
      </c>
      <c r="B169" s="415">
        <f t="shared" ref="B169:G169" si="16">B161+B168</f>
        <v>0</v>
      </c>
      <c r="C169" s="415">
        <f t="shared" si="16"/>
        <v>0</v>
      </c>
      <c r="D169" s="415">
        <f t="shared" si="16"/>
        <v>0</v>
      </c>
      <c r="E169" s="415">
        <f t="shared" si="16"/>
        <v>324</v>
      </c>
      <c r="F169" s="415">
        <f t="shared" si="16"/>
        <v>432</v>
      </c>
      <c r="G169" s="415">
        <f t="shared" si="16"/>
        <v>585</v>
      </c>
    </row>
    <row r="170" spans="1:7">
      <c r="A170" s="88" t="s">
        <v>277</v>
      </c>
      <c r="B170" s="414"/>
      <c r="C170" s="414"/>
      <c r="D170" s="414"/>
      <c r="E170" s="414"/>
      <c r="F170" s="414"/>
      <c r="G170" s="414"/>
    </row>
    <row r="171" spans="1:7">
      <c r="A171" s="90" t="s">
        <v>260</v>
      </c>
      <c r="B171" s="412">
        <v>0</v>
      </c>
      <c r="C171" s="412">
        <v>0</v>
      </c>
      <c r="D171" s="412">
        <v>0</v>
      </c>
      <c r="E171" s="412">
        <v>0</v>
      </c>
      <c r="F171" s="412">
        <v>0</v>
      </c>
      <c r="G171" s="412">
        <v>0</v>
      </c>
    </row>
    <row r="172" spans="1:7">
      <c r="A172" s="90" t="s">
        <v>209</v>
      </c>
      <c r="B172" s="412">
        <v>0</v>
      </c>
      <c r="C172" s="412">
        <v>0</v>
      </c>
      <c r="D172" s="412">
        <v>0</v>
      </c>
      <c r="E172" s="412">
        <v>0</v>
      </c>
      <c r="F172" s="412">
        <v>0</v>
      </c>
      <c r="G172" s="412">
        <v>0</v>
      </c>
    </row>
    <row r="173" spans="1:7">
      <c r="A173" s="90" t="s">
        <v>278</v>
      </c>
      <c r="B173" s="412">
        <v>0</v>
      </c>
      <c r="C173" s="412">
        <v>0</v>
      </c>
      <c r="D173" s="412">
        <v>0</v>
      </c>
      <c r="E173" s="412">
        <v>0</v>
      </c>
      <c r="F173" s="412">
        <v>0</v>
      </c>
      <c r="G173" s="412">
        <v>0</v>
      </c>
    </row>
    <row r="174" spans="1:7">
      <c r="A174" s="90" t="s">
        <v>352</v>
      </c>
      <c r="B174" s="426">
        <v>0</v>
      </c>
      <c r="C174" s="426">
        <v>0</v>
      </c>
      <c r="D174" s="426">
        <v>0</v>
      </c>
      <c r="E174" s="412">
        <v>0</v>
      </c>
      <c r="F174" s="412">
        <v>0</v>
      </c>
      <c r="G174" s="412">
        <v>0</v>
      </c>
    </row>
    <row r="175" spans="1:7">
      <c r="A175" s="113" t="s">
        <v>208</v>
      </c>
      <c r="B175" s="413">
        <v>0</v>
      </c>
      <c r="C175" s="413">
        <v>0</v>
      </c>
      <c r="D175" s="413">
        <v>0</v>
      </c>
      <c r="E175" s="426">
        <v>270</v>
      </c>
      <c r="F175" s="426">
        <v>304</v>
      </c>
      <c r="G175" s="426">
        <v>348</v>
      </c>
    </row>
    <row r="176" spans="1:7">
      <c r="A176" s="158" t="s">
        <v>284</v>
      </c>
      <c r="B176" s="425">
        <f t="shared" ref="B176:G176" si="17">SUM(B171:B175)</f>
        <v>0</v>
      </c>
      <c r="C176" s="425">
        <f t="shared" si="17"/>
        <v>0</v>
      </c>
      <c r="D176" s="425">
        <f t="shared" si="17"/>
        <v>0</v>
      </c>
      <c r="E176" s="425">
        <f t="shared" si="17"/>
        <v>270</v>
      </c>
      <c r="F176" s="425">
        <f t="shared" si="17"/>
        <v>304</v>
      </c>
      <c r="G176" s="425">
        <f t="shared" si="17"/>
        <v>348</v>
      </c>
    </row>
    <row r="177" spans="1:7">
      <c r="A177" s="162" t="s">
        <v>351</v>
      </c>
      <c r="B177" s="427">
        <v>0</v>
      </c>
      <c r="C177" s="427">
        <v>0</v>
      </c>
      <c r="D177" s="427">
        <v>0</v>
      </c>
      <c r="E177" s="427">
        <v>0</v>
      </c>
      <c r="F177" s="427">
        <v>0</v>
      </c>
      <c r="G177" s="427">
        <v>0</v>
      </c>
    </row>
    <row r="178" spans="1:7">
      <c r="A178" s="90" t="s">
        <v>286</v>
      </c>
      <c r="B178" s="414">
        <f t="shared" ref="B178:G178" si="18">B169+B176+B177</f>
        <v>0</v>
      </c>
      <c r="C178" s="414">
        <f t="shared" si="18"/>
        <v>0</v>
      </c>
      <c r="D178" s="414">
        <f t="shared" si="18"/>
        <v>0</v>
      </c>
      <c r="E178" s="414">
        <f t="shared" si="18"/>
        <v>594</v>
      </c>
      <c r="F178" s="414">
        <f t="shared" si="18"/>
        <v>736</v>
      </c>
      <c r="G178" s="414">
        <f t="shared" si="18"/>
        <v>933</v>
      </c>
    </row>
    <row r="179" spans="1:7">
      <c r="A179" s="90"/>
      <c r="B179" s="90"/>
      <c r="C179" s="90"/>
      <c r="D179" s="90"/>
      <c r="E179" s="90"/>
      <c r="F179" s="90"/>
      <c r="G179" s="90"/>
    </row>
    <row r="180" spans="1:7">
      <c r="A180" s="97" t="s">
        <v>288</v>
      </c>
      <c r="B180" s="97" t="s">
        <v>289</v>
      </c>
      <c r="C180" s="97"/>
    </row>
    <row r="181" spans="1:7">
      <c r="A181" s="148" t="s">
        <v>220</v>
      </c>
      <c r="B181" s="99">
        <f t="shared" ref="B181:D182" si="19">B132</f>
        <v>-5</v>
      </c>
      <c r="C181" s="99">
        <f t="shared" si="19"/>
        <v>-4</v>
      </c>
      <c r="D181" s="99">
        <f t="shared" si="19"/>
        <v>-3</v>
      </c>
      <c r="E181" s="99">
        <f>+E94</f>
        <v>-2</v>
      </c>
      <c r="F181" s="99">
        <f>F94</f>
        <v>-1</v>
      </c>
      <c r="G181" s="99">
        <f>G94</f>
        <v>0</v>
      </c>
    </row>
    <row r="182" spans="1:7">
      <c r="A182" s="148" t="s">
        <v>290</v>
      </c>
      <c r="B182" s="169">
        <f t="shared" si="19"/>
        <v>1998</v>
      </c>
      <c r="C182" s="169">
        <f t="shared" si="19"/>
        <v>1999</v>
      </c>
      <c r="D182" s="169">
        <f t="shared" si="19"/>
        <v>2000</v>
      </c>
      <c r="E182" s="169">
        <f>E133</f>
        <v>2001</v>
      </c>
      <c r="F182" s="169">
        <f>F133</f>
        <v>2002</v>
      </c>
      <c r="G182" s="169">
        <f>G133</f>
        <v>2003</v>
      </c>
    </row>
    <row r="183" spans="1:7">
      <c r="A183" s="97" t="s">
        <v>291</v>
      </c>
      <c r="B183" s="97"/>
      <c r="C183" s="97"/>
    </row>
    <row r="184" spans="1:7">
      <c r="A184" s="62" t="s">
        <v>293</v>
      </c>
      <c r="B184" s="428" t="e">
        <f t="shared" ref="B184:G184" si="20">B141/B161</f>
        <v>#DIV/0!</v>
      </c>
      <c r="C184" s="428" t="e">
        <f t="shared" si="20"/>
        <v>#DIV/0!</v>
      </c>
      <c r="D184" s="428" t="e">
        <f t="shared" si="20"/>
        <v>#DIV/0!</v>
      </c>
      <c r="E184" s="428">
        <f t="shared" si="20"/>
        <v>1.8</v>
      </c>
      <c r="F184" s="428">
        <f t="shared" si="20"/>
        <v>1.5893333333333333</v>
      </c>
      <c r="G184" s="428">
        <f t="shared" si="20"/>
        <v>1.4504672897196262</v>
      </c>
    </row>
    <row r="185" spans="1:7">
      <c r="A185" s="62" t="s">
        <v>294</v>
      </c>
      <c r="B185" s="428" t="e">
        <f t="shared" ref="B185:G185" si="21">(B141-B139)/B161</f>
        <v>#DIV/0!</v>
      </c>
      <c r="C185" s="428" t="e">
        <f t="shared" si="21"/>
        <v>#DIV/0!</v>
      </c>
      <c r="D185" s="428" t="e">
        <f t="shared" si="21"/>
        <v>#DIV/0!</v>
      </c>
      <c r="E185" s="428">
        <f t="shared" si="21"/>
        <v>0.88076923076923075</v>
      </c>
      <c r="F185" s="428">
        <f t="shared" si="21"/>
        <v>0.72</v>
      </c>
      <c r="G185" s="428">
        <f t="shared" si="21"/>
        <v>0.66915887850467293</v>
      </c>
    </row>
    <row r="186" spans="1:7">
      <c r="A186" s="172" t="s">
        <v>420</v>
      </c>
      <c r="B186" s="428" t="e">
        <f t="shared" ref="B186:G186" si="22">B138/(B97/365)</f>
        <v>#DIV/0!</v>
      </c>
      <c r="C186" s="428" t="e">
        <f t="shared" si="22"/>
        <v>#DIV/0!</v>
      </c>
      <c r="D186" s="428" t="e">
        <f t="shared" si="22"/>
        <v>#DIV/0!</v>
      </c>
      <c r="E186" s="428">
        <f t="shared" si="22"/>
        <v>36.779611078373605</v>
      </c>
      <c r="F186" s="428">
        <f t="shared" si="22"/>
        <v>40.253353204172875</v>
      </c>
      <c r="G186" s="428">
        <f t="shared" si="22"/>
        <v>42.949146250927988</v>
      </c>
    </row>
    <row r="187" spans="1:7">
      <c r="A187" s="172" t="s">
        <v>423</v>
      </c>
      <c r="B187" s="428" t="e">
        <f>-B139/(B98/365)</f>
        <v>#DIV/0!</v>
      </c>
      <c r="C187" s="428" t="e">
        <f>-C139/(C98/365)</f>
        <v>#DIV/0!</v>
      </c>
      <c r="D187" s="428" t="e">
        <f>-D139/(D98/365)</f>
        <v>#DIV/0!</v>
      </c>
      <c r="E187" s="428">
        <f>E139/(E98/365)</f>
        <v>71.387070376432078</v>
      </c>
      <c r="F187" s="428">
        <f>F139/(F98/365)</f>
        <v>82.804453723034101</v>
      </c>
      <c r="G187" s="428">
        <f>G139/(G98/365)</f>
        <v>78.241025641025644</v>
      </c>
    </row>
    <row r="188" spans="1:7">
      <c r="A188" s="172" t="s">
        <v>425</v>
      </c>
      <c r="B188" s="428" t="e">
        <f>-B155/(B98/365)</f>
        <v>#DIV/0!</v>
      </c>
      <c r="C188" s="428" t="e">
        <f>-C155/(C98/365)</f>
        <v>#DIV/0!</v>
      </c>
      <c r="D188" s="428" t="e">
        <f>-D155/(D98/365)</f>
        <v>#DIV/0!</v>
      </c>
      <c r="E188" s="428">
        <f>E155/(E98/365)</f>
        <v>37.037643207855979</v>
      </c>
      <c r="F188" s="428">
        <f>F155/(F98/365)</f>
        <v>48.768267223382047</v>
      </c>
      <c r="G188" s="428">
        <f>G155/(G98/365)</f>
        <v>47.917948717948718</v>
      </c>
    </row>
    <row r="189" spans="1:7">
      <c r="A189" s="62"/>
    </row>
    <row r="190" spans="1:7">
      <c r="A190" s="97" t="s">
        <v>427</v>
      </c>
      <c r="B190" s="62"/>
      <c r="C190" s="62"/>
      <c r="D190" s="62"/>
      <c r="E190" s="62"/>
      <c r="F190" s="62"/>
      <c r="G190" s="62"/>
    </row>
    <row r="191" spans="1:7">
      <c r="A191" s="62" t="s">
        <v>428</v>
      </c>
      <c r="B191" s="429" t="e">
        <f t="shared" ref="B191:G191" si="23">(B165+B166)/(B165+B166+B176)</f>
        <v>#DIV/0!</v>
      </c>
      <c r="C191" s="429" t="e">
        <f t="shared" si="23"/>
        <v>#DIV/0!</v>
      </c>
      <c r="D191" s="429" t="e">
        <f t="shared" si="23"/>
        <v>#DIV/0!</v>
      </c>
      <c r="E191" s="429">
        <f t="shared" si="23"/>
        <v>0.19161676646706588</v>
      </c>
      <c r="F191" s="429">
        <f t="shared" si="23"/>
        <v>0.15789473684210525</v>
      </c>
      <c r="G191" s="429">
        <f t="shared" si="23"/>
        <v>0.12562814070351758</v>
      </c>
    </row>
    <row r="192" spans="1:7">
      <c r="A192" s="62" t="s">
        <v>429</v>
      </c>
      <c r="B192" s="429" t="e">
        <f t="shared" ref="B192:G192" si="24">(B165+B166)/(B176)</f>
        <v>#DIV/0!</v>
      </c>
      <c r="C192" s="429" t="e">
        <f t="shared" si="24"/>
        <v>#DIV/0!</v>
      </c>
      <c r="D192" s="429" t="e">
        <f t="shared" si="24"/>
        <v>#DIV/0!</v>
      </c>
      <c r="E192" s="429">
        <f t="shared" si="24"/>
        <v>0.23703703703703705</v>
      </c>
      <c r="F192" s="429">
        <f t="shared" si="24"/>
        <v>0.1875</v>
      </c>
      <c r="G192" s="429">
        <f t="shared" si="24"/>
        <v>0.14367816091954022</v>
      </c>
    </row>
    <row r="193" spans="1:7">
      <c r="A193" s="62" t="s">
        <v>430</v>
      </c>
      <c r="B193" s="428" t="e">
        <f>-B107/B108</f>
        <v>#DIV/0!</v>
      </c>
      <c r="C193" s="428" t="e">
        <f>-C107/C108</f>
        <v>#DIV/0!</v>
      </c>
      <c r="D193" s="428" t="e">
        <f>-D107/D108</f>
        <v>#DIV/0!</v>
      </c>
      <c r="E193" s="428">
        <f>E107/E108</f>
        <v>3.8461538461538463</v>
      </c>
      <c r="F193" s="428">
        <f>F107/F108</f>
        <v>3.05</v>
      </c>
      <c r="G193" s="428">
        <f>G107/G108</f>
        <v>2.606060606060606</v>
      </c>
    </row>
    <row r="194" spans="1:7">
      <c r="A194" s="62" t="s">
        <v>432</v>
      </c>
      <c r="B194" s="428" t="e">
        <f>(B107+B158)/((-B108+B158)/(1-(-B112/B111)))</f>
        <v>#DIV/0!</v>
      </c>
      <c r="C194" s="428" t="e">
        <f>(C107+C158)/((-C108+C158)/(1-(-C112/C111)))</f>
        <v>#DIV/0!</v>
      </c>
      <c r="D194" s="428" t="e">
        <f>(D107+D158)/((-D108+D158)/(1-(-D112/D111)))</f>
        <v>#DIV/0!</v>
      </c>
      <c r="E194" s="428">
        <f>(E107+E158)/((E108+E158)/(1-(E112/E111)))</f>
        <v>3.2224532224532227</v>
      </c>
      <c r="F194" s="428">
        <f>(F107+F158)/((F108+F158)/(1-(F112/F111)))</f>
        <v>2.5292682926829269</v>
      </c>
      <c r="G194" s="428">
        <f>(G107+G158)/((G108+G158)/(1-(G112/G111)))</f>
        <v>2.1635220125786163</v>
      </c>
    </row>
    <row r="196" spans="1:7">
      <c r="A196" s="97" t="s">
        <v>433</v>
      </c>
    </row>
    <row r="197" spans="1:7">
      <c r="A197" s="62" t="s">
        <v>435</v>
      </c>
      <c r="B197" s="428" t="e">
        <f t="shared" ref="B197:G197" si="25">B97/B150</f>
        <v>#DIV/0!</v>
      </c>
      <c r="C197" s="428" t="e">
        <f t="shared" si="25"/>
        <v>#DIV/0!</v>
      </c>
      <c r="D197" s="428" t="e">
        <f t="shared" si="25"/>
        <v>#DIV/0!</v>
      </c>
      <c r="E197" s="428">
        <f t="shared" si="25"/>
        <v>13.468253968253968</v>
      </c>
      <c r="F197" s="428">
        <f t="shared" si="25"/>
        <v>14.378571428571428</v>
      </c>
      <c r="G197" s="428">
        <f t="shared" si="25"/>
        <v>17.159235668789808</v>
      </c>
    </row>
    <row r="198" spans="1:7">
      <c r="A198" s="62" t="s">
        <v>436</v>
      </c>
      <c r="B198" s="428" t="e">
        <f t="shared" ref="B198:G198" si="26">B97/B151</f>
        <v>#DIV/0!</v>
      </c>
      <c r="C198" s="428" t="e">
        <f t="shared" si="26"/>
        <v>#DIV/0!</v>
      </c>
      <c r="D198" s="428" t="e">
        <f t="shared" si="26"/>
        <v>#DIV/0!</v>
      </c>
      <c r="E198" s="428">
        <f t="shared" si="26"/>
        <v>2.8569023569023568</v>
      </c>
      <c r="F198" s="428">
        <f t="shared" si="26"/>
        <v>2.7350543478260869</v>
      </c>
      <c r="G198" s="428">
        <f t="shared" si="26"/>
        <v>2.887459807073955</v>
      </c>
    </row>
    <row r="199" spans="1:7">
      <c r="A199" s="62"/>
    </row>
    <row r="200" spans="1:7">
      <c r="A200" s="97" t="s">
        <v>437</v>
      </c>
      <c r="B200" s="62"/>
      <c r="C200" s="62"/>
      <c r="D200" s="62"/>
      <c r="E200" s="62"/>
      <c r="F200" s="62"/>
      <c r="G200" s="62"/>
    </row>
    <row r="201" spans="1:7">
      <c r="A201" s="62" t="s">
        <v>438</v>
      </c>
      <c r="B201" s="429" t="e">
        <f t="shared" ref="B201:G201" si="27">B99/B97</f>
        <v>#DIV/0!</v>
      </c>
      <c r="C201" s="429" t="e">
        <f t="shared" si="27"/>
        <v>#DIV/0!</v>
      </c>
      <c r="D201" s="429" t="e">
        <f t="shared" si="27"/>
        <v>#DIV/0!</v>
      </c>
      <c r="E201" s="429">
        <f t="shared" si="27"/>
        <v>0.2799057159693577</v>
      </c>
      <c r="F201" s="429">
        <f t="shared" si="27"/>
        <v>0.28614008941877794</v>
      </c>
      <c r="G201" s="429">
        <f t="shared" si="27"/>
        <v>0.27616926503340755</v>
      </c>
    </row>
    <row r="202" spans="1:7">
      <c r="A202" s="62" t="s">
        <v>439</v>
      </c>
      <c r="B202" s="429" t="e">
        <f t="shared" ref="B202:G202" si="28">B107/B97</f>
        <v>#DIV/0!</v>
      </c>
      <c r="C202" s="429" t="e">
        <f t="shared" si="28"/>
        <v>#DIV/0!</v>
      </c>
      <c r="D202" s="429" t="e">
        <f t="shared" si="28"/>
        <v>#DIV/0!</v>
      </c>
      <c r="E202" s="429">
        <f t="shared" si="28"/>
        <v>2.9463759575721862E-2</v>
      </c>
      <c r="F202" s="429">
        <f t="shared" si="28"/>
        <v>3.0303030303030304E-2</v>
      </c>
      <c r="G202" s="429">
        <f t="shared" si="28"/>
        <v>3.1922791388270227E-2</v>
      </c>
    </row>
    <row r="203" spans="1:7">
      <c r="A203" t="s">
        <v>440</v>
      </c>
      <c r="B203" s="429" t="e">
        <f t="shared" ref="B203:G203" si="29">B116/B97</f>
        <v>#DIV/0!</v>
      </c>
      <c r="C203" s="429" t="e">
        <f t="shared" si="29"/>
        <v>#DIV/0!</v>
      </c>
      <c r="D203" s="429" t="e">
        <f t="shared" si="29"/>
        <v>#DIV/0!</v>
      </c>
      <c r="E203" s="429">
        <f t="shared" si="29"/>
        <v>1.8267530936947555E-2</v>
      </c>
      <c r="F203" s="429">
        <f t="shared" si="29"/>
        <v>1.6890213611525089E-2</v>
      </c>
      <c r="G203" s="429">
        <f t="shared" si="29"/>
        <v>1.6332590942835932E-2</v>
      </c>
    </row>
    <row r="204" spans="1:7">
      <c r="A204" s="62" t="s">
        <v>441</v>
      </c>
      <c r="B204" s="429" t="e">
        <f t="shared" ref="B204:G204" si="30">B116/B151</f>
        <v>#DIV/0!</v>
      </c>
      <c r="C204" s="429" t="e">
        <f t="shared" si="30"/>
        <v>#DIV/0!</v>
      </c>
      <c r="D204" s="429" t="e">
        <f t="shared" si="30"/>
        <v>#DIV/0!</v>
      </c>
      <c r="E204" s="429">
        <f t="shared" si="30"/>
        <v>5.2188552188552187E-2</v>
      </c>
      <c r="F204" s="429">
        <f t="shared" si="30"/>
        <v>4.619565217391304E-2</v>
      </c>
      <c r="G204" s="429">
        <f t="shared" si="30"/>
        <v>4.7159699892818867E-2</v>
      </c>
    </row>
    <row r="205" spans="1:7">
      <c r="A205" s="62" t="s">
        <v>442</v>
      </c>
      <c r="B205" s="429" t="e">
        <f t="shared" ref="B205:G205" si="31">B116/(B176)</f>
        <v>#DIV/0!</v>
      </c>
      <c r="C205" s="429" t="e">
        <f t="shared" si="31"/>
        <v>#DIV/0!</v>
      </c>
      <c r="D205" s="429" t="e">
        <f t="shared" si="31"/>
        <v>#DIV/0!</v>
      </c>
      <c r="E205" s="429">
        <f t="shared" si="31"/>
        <v>0.11481481481481481</v>
      </c>
      <c r="F205" s="429">
        <f t="shared" si="31"/>
        <v>0.1118421052631579</v>
      </c>
      <c r="G205" s="429">
        <f t="shared" si="31"/>
        <v>0.12643678160919541</v>
      </c>
    </row>
    <row r="206" spans="1:7">
      <c r="A206" s="172" t="s">
        <v>443</v>
      </c>
      <c r="B206" s="429" t="e">
        <f>(B107*(1-(-B112/B111)))/B151</f>
        <v>#DIV/0!</v>
      </c>
      <c r="C206" s="429" t="e">
        <f>(C107*(1-(-C112/C111)))/C151</f>
        <v>#DIV/0!</v>
      </c>
      <c r="D206" s="429" t="e">
        <f>(D107*(1-(-D112/D111)))/D151</f>
        <v>#DIV/0!</v>
      </c>
      <c r="E206" s="429">
        <f>(E107*(1-(E112/E111)))/E151</f>
        <v>7.0525070525070524E-2</v>
      </c>
      <c r="F206" s="429">
        <f>(F107*(1-(F112/F111)))/F151</f>
        <v>6.8730116648992576E-2</v>
      </c>
      <c r="G206" s="429">
        <f>(G107*(1-(G112/G111)))/G151</f>
        <v>7.6523286618536274E-2</v>
      </c>
    </row>
    <row r="208" spans="1:7">
      <c r="A208" s="97" t="s">
        <v>444</v>
      </c>
      <c r="B208" s="429" t="e">
        <f t="shared" ref="B208:G208" si="32">B211*B210*B209</f>
        <v>#DIV/0!</v>
      </c>
      <c r="C208" s="429" t="e">
        <f t="shared" si="32"/>
        <v>#DIV/0!</v>
      </c>
      <c r="D208" s="429" t="e">
        <f t="shared" si="32"/>
        <v>#DIV/0!</v>
      </c>
      <c r="E208" s="429">
        <f t="shared" si="32"/>
        <v>0.11481481481481483</v>
      </c>
      <c r="F208" s="429">
        <f t="shared" si="32"/>
        <v>0.11184210526315791</v>
      </c>
      <c r="G208" s="429">
        <f t="shared" si="32"/>
        <v>0.12643678160919539</v>
      </c>
    </row>
    <row r="209" spans="1:16">
      <c r="A209" s="62" t="s">
        <v>445</v>
      </c>
      <c r="B209" s="429" t="e">
        <f t="shared" ref="B209:G209" si="33">B203</f>
        <v>#DIV/0!</v>
      </c>
      <c r="C209" s="429" t="e">
        <f t="shared" si="33"/>
        <v>#DIV/0!</v>
      </c>
      <c r="D209" s="429" t="e">
        <f t="shared" si="33"/>
        <v>#DIV/0!</v>
      </c>
      <c r="E209" s="429">
        <f t="shared" si="33"/>
        <v>1.8267530936947555E-2</v>
      </c>
      <c r="F209" s="429">
        <f t="shared" si="33"/>
        <v>1.6890213611525089E-2</v>
      </c>
      <c r="G209" s="429">
        <f t="shared" si="33"/>
        <v>1.6332590942835932E-2</v>
      </c>
    </row>
    <row r="210" spans="1:16">
      <c r="A210" s="62" t="s">
        <v>446</v>
      </c>
      <c r="B210" s="430" t="e">
        <f t="shared" ref="B210:G210" si="34">B198</f>
        <v>#DIV/0!</v>
      </c>
      <c r="C210" s="430" t="e">
        <f t="shared" si="34"/>
        <v>#DIV/0!</v>
      </c>
      <c r="D210" s="430" t="e">
        <f t="shared" si="34"/>
        <v>#DIV/0!</v>
      </c>
      <c r="E210" s="430">
        <f t="shared" si="34"/>
        <v>2.8569023569023568</v>
      </c>
      <c r="F210" s="430">
        <f t="shared" si="34"/>
        <v>2.7350543478260869</v>
      </c>
      <c r="G210" s="430">
        <f t="shared" si="34"/>
        <v>2.887459807073955</v>
      </c>
    </row>
    <row r="211" spans="1:16">
      <c r="A211" s="62" t="s">
        <v>447</v>
      </c>
      <c r="B211" s="430" t="e">
        <f t="shared" ref="B211:G211" si="35">B151/(B176)</f>
        <v>#DIV/0!</v>
      </c>
      <c r="C211" s="430" t="e">
        <f t="shared" si="35"/>
        <v>#DIV/0!</v>
      </c>
      <c r="D211" s="430" t="e">
        <f t="shared" si="35"/>
        <v>#DIV/0!</v>
      </c>
      <c r="E211" s="430">
        <f t="shared" si="35"/>
        <v>2.2000000000000002</v>
      </c>
      <c r="F211" s="430">
        <f t="shared" si="35"/>
        <v>2.4210526315789473</v>
      </c>
      <c r="G211" s="430">
        <f t="shared" si="35"/>
        <v>2.6810344827586206</v>
      </c>
    </row>
    <row r="212" spans="1:16">
      <c r="A212" s="62" t="s">
        <v>448</v>
      </c>
      <c r="B212" s="429" t="e">
        <f t="shared" ref="B212:G212" si="36">B116/B176</f>
        <v>#DIV/0!</v>
      </c>
      <c r="C212" s="429" t="e">
        <f t="shared" si="36"/>
        <v>#DIV/0!</v>
      </c>
      <c r="D212" s="429" t="e">
        <f t="shared" si="36"/>
        <v>#DIV/0!</v>
      </c>
      <c r="E212" s="429">
        <f t="shared" si="36"/>
        <v>0.11481481481481481</v>
      </c>
      <c r="F212" s="429">
        <f t="shared" si="36"/>
        <v>0.1118421052631579</v>
      </c>
      <c r="G212" s="429">
        <f t="shared" si="36"/>
        <v>0.12643678160919541</v>
      </c>
    </row>
    <row r="214" spans="1:16">
      <c r="A214" s="97" t="s">
        <v>449</v>
      </c>
    </row>
    <row r="215" spans="1:16">
      <c r="A215" t="s">
        <v>450</v>
      </c>
      <c r="B215" s="178" t="s">
        <v>451</v>
      </c>
      <c r="C215" s="431" t="e">
        <f>C97/B97-1</f>
        <v>#DIV/0!</v>
      </c>
      <c r="D215" s="431" t="e">
        <f>D97/C97-1</f>
        <v>#DIV/0!</v>
      </c>
      <c r="E215" s="431" t="e">
        <f>E97/D97-1</f>
        <v>#DIV/0!</v>
      </c>
      <c r="F215" s="431">
        <f>F97/E97-1</f>
        <v>0.18621096051856223</v>
      </c>
      <c r="G215" s="431">
        <f>G97/F97-1</f>
        <v>0.33830104321907606</v>
      </c>
    </row>
    <row r="216" spans="1:16">
      <c r="A216" t="s">
        <v>317</v>
      </c>
      <c r="B216" s="178" t="str">
        <f>B215</f>
        <v>NA</v>
      </c>
      <c r="C216" s="431" t="e">
        <f>C99/B99-1</f>
        <v>#DIV/0!</v>
      </c>
      <c r="D216" s="431" t="e">
        <f>D99/C99-1</f>
        <v>#DIV/0!</v>
      </c>
      <c r="E216" s="431" t="e">
        <f>E99/D99-1</f>
        <v>#DIV/0!</v>
      </c>
      <c r="F216" s="431">
        <f>F99/E99-1</f>
        <v>0.2126315789473685</v>
      </c>
      <c r="G216" s="431">
        <f>G99/F99-1</f>
        <v>0.29166666666666674</v>
      </c>
    </row>
    <row r="217" spans="1:16">
      <c r="A217" t="s">
        <v>304</v>
      </c>
      <c r="B217" s="178" t="str">
        <f>B216</f>
        <v>NA</v>
      </c>
      <c r="C217" s="431" t="e">
        <f>C107/B107-1</f>
        <v>#DIV/0!</v>
      </c>
      <c r="D217" s="431" t="e">
        <f>D107/C107-1</f>
        <v>#DIV/0!</v>
      </c>
      <c r="E217" s="431" t="e">
        <f>E107/D107-1</f>
        <v>#DIV/0!</v>
      </c>
      <c r="F217" s="431">
        <f>F107/E107-1</f>
        <v>0.21999999999999997</v>
      </c>
      <c r="G217" s="431">
        <f>G107/F107-1</f>
        <v>0.4098360655737705</v>
      </c>
    </row>
    <row r="218" spans="1:16">
      <c r="A218" t="s">
        <v>137</v>
      </c>
      <c r="B218" s="178" t="str">
        <f>B217</f>
        <v>NA</v>
      </c>
      <c r="C218" s="431" t="e">
        <f>C151/B151-1</f>
        <v>#DIV/0!</v>
      </c>
      <c r="D218" s="431" t="e">
        <f>D151/C151-1</f>
        <v>#DIV/0!</v>
      </c>
      <c r="E218" s="431" t="e">
        <f>E151/D151-1</f>
        <v>#DIV/0!</v>
      </c>
      <c r="F218" s="431">
        <f>F151/E151-1</f>
        <v>0.23905723905723897</v>
      </c>
      <c r="G218" s="431">
        <f>G151/F151-1</f>
        <v>0.26766304347826098</v>
      </c>
    </row>
    <row r="221" spans="1:16">
      <c r="D221" s="170"/>
    </row>
    <row r="222" spans="1:16">
      <c r="A222" s="432" t="s">
        <v>6</v>
      </c>
      <c r="B222" s="433"/>
      <c r="C222" s="434"/>
      <c r="D222" s="370"/>
      <c r="E222" s="434"/>
      <c r="F222" s="432"/>
      <c r="G222" s="432"/>
      <c r="H222" s="357"/>
      <c r="I222" s="357"/>
      <c r="J222" s="357"/>
      <c r="K222" s="357"/>
      <c r="L222" s="357"/>
      <c r="M222" s="357"/>
      <c r="N222" s="357"/>
      <c r="O222" s="357"/>
      <c r="P222" s="357"/>
    </row>
    <row r="223" spans="1:16">
      <c r="A223" s="376" t="s">
        <v>524</v>
      </c>
      <c r="B223" s="377"/>
      <c r="C223" s="378"/>
      <c r="D223" s="379"/>
      <c r="E223" s="378"/>
      <c r="F223" s="393"/>
      <c r="G223" s="393"/>
      <c r="H223" s="394"/>
      <c r="I223" s="395"/>
      <c r="J223" s="365" t="s">
        <v>525</v>
      </c>
      <c r="K223" s="357"/>
      <c r="L223" s="357"/>
      <c r="M223" s="357"/>
      <c r="N223" s="357"/>
      <c r="O223" s="357"/>
      <c r="P223" s="357"/>
    </row>
    <row r="224" spans="1:16">
      <c r="A224" s="371" t="s">
        <v>526</v>
      </c>
      <c r="B224" s="372"/>
      <c r="C224" s="373"/>
      <c r="D224" s="374"/>
      <c r="E224" s="373"/>
      <c r="F224" s="385"/>
      <c r="G224" s="385"/>
      <c r="H224" s="345"/>
      <c r="I224" s="398"/>
      <c r="J224" s="365" t="s">
        <v>527</v>
      </c>
      <c r="K224" s="357"/>
      <c r="L224" s="357"/>
      <c r="M224" s="357"/>
      <c r="N224" s="357"/>
      <c r="O224" s="357"/>
      <c r="P224" s="357"/>
    </row>
    <row r="225" spans="1:16">
      <c r="A225" s="371" t="s">
        <v>528</v>
      </c>
      <c r="B225" s="372"/>
      <c r="C225" s="373"/>
      <c r="D225" s="374"/>
      <c r="E225" s="373"/>
      <c r="F225" s="385"/>
      <c r="G225" s="385"/>
      <c r="H225" s="345"/>
      <c r="I225" s="398"/>
      <c r="J225" s="365" t="s">
        <v>529</v>
      </c>
      <c r="K225" s="357"/>
      <c r="L225" s="357"/>
      <c r="M225" s="357"/>
      <c r="N225" s="357"/>
      <c r="O225" s="357"/>
      <c r="P225" s="357"/>
    </row>
    <row r="226" spans="1:16">
      <c r="A226" s="371" t="s">
        <v>530</v>
      </c>
      <c r="B226" s="372"/>
      <c r="C226" s="373"/>
      <c r="D226" s="374"/>
      <c r="E226" s="373"/>
      <c r="F226" s="385"/>
      <c r="G226" s="385"/>
      <c r="H226" s="345"/>
      <c r="I226" s="398"/>
      <c r="J226" s="365" t="s">
        <v>531</v>
      </c>
      <c r="K226" s="357"/>
      <c r="L226" s="357"/>
      <c r="M226" s="357"/>
      <c r="N226" s="357"/>
      <c r="O226" s="357"/>
      <c r="P226" s="357"/>
    </row>
    <row r="227" spans="1:16">
      <c r="A227" s="371" t="s">
        <v>547</v>
      </c>
      <c r="B227" s="372"/>
      <c r="C227" s="373"/>
      <c r="D227" s="374"/>
      <c r="E227" s="373"/>
      <c r="F227" s="385"/>
      <c r="G227" s="385"/>
      <c r="H227" s="345"/>
      <c r="I227" s="398"/>
      <c r="J227" s="365" t="s">
        <v>548</v>
      </c>
      <c r="K227" s="357"/>
      <c r="L227" s="357"/>
      <c r="M227" s="357"/>
      <c r="N227" s="357"/>
      <c r="O227" s="357"/>
      <c r="P227" s="357"/>
    </row>
    <row r="228" spans="1:16">
      <c r="A228" s="371" t="s">
        <v>549</v>
      </c>
      <c r="B228" s="372"/>
      <c r="C228" s="373"/>
      <c r="D228" s="374"/>
      <c r="E228" s="373"/>
      <c r="F228" s="385"/>
      <c r="G228" s="385"/>
      <c r="H228" s="345"/>
      <c r="I228" s="398"/>
      <c r="J228" s="365" t="s">
        <v>7</v>
      </c>
      <c r="K228" s="357"/>
      <c r="L228" s="357"/>
      <c r="M228" s="357"/>
      <c r="N228" s="357"/>
      <c r="O228" s="357"/>
      <c r="P228" s="357"/>
    </row>
    <row r="229" spans="1:16">
      <c r="A229" s="371"/>
      <c r="B229" s="372"/>
      <c r="C229" s="373"/>
      <c r="D229" s="374"/>
      <c r="E229" s="373"/>
      <c r="F229" s="385"/>
      <c r="G229" s="385"/>
      <c r="H229" s="345"/>
      <c r="I229" s="398"/>
      <c r="J229" s="357"/>
      <c r="K229" s="357"/>
      <c r="L229" s="357"/>
      <c r="M229" s="357"/>
      <c r="N229" s="357"/>
      <c r="O229" s="357"/>
      <c r="P229" s="357"/>
    </row>
    <row r="230" spans="1:16">
      <c r="A230" s="371" t="s">
        <v>550</v>
      </c>
      <c r="B230" s="372"/>
      <c r="C230" s="373"/>
      <c r="D230" s="374"/>
      <c r="E230" s="373"/>
      <c r="F230" s="385"/>
      <c r="G230" s="385"/>
      <c r="H230" s="345"/>
      <c r="I230" s="398"/>
      <c r="J230" s="375"/>
      <c r="K230" s="375" t="s">
        <v>396</v>
      </c>
      <c r="L230" s="375" t="s">
        <v>396</v>
      </c>
      <c r="M230" s="375"/>
      <c r="N230" s="375"/>
      <c r="O230" s="357"/>
      <c r="P230" s="357"/>
    </row>
    <row r="231" spans="1:16">
      <c r="A231" s="371"/>
      <c r="B231" s="372"/>
      <c r="C231" s="373"/>
      <c r="D231" s="374"/>
      <c r="E231" s="373"/>
      <c r="F231" s="385"/>
      <c r="G231" s="385"/>
      <c r="H231" s="345"/>
      <c r="I231" s="398"/>
      <c r="J231" s="375" t="s">
        <v>396</v>
      </c>
      <c r="K231" s="375" t="s">
        <v>396</v>
      </c>
      <c r="L231" s="375" t="s">
        <v>396</v>
      </c>
      <c r="M231" s="375"/>
      <c r="N231" s="375"/>
      <c r="O231" s="357"/>
      <c r="P231" s="357"/>
    </row>
    <row r="232" spans="1:16">
      <c r="A232" s="400"/>
      <c r="B232" s="409"/>
      <c r="C232" s="410"/>
      <c r="D232" s="411"/>
      <c r="E232" s="410"/>
      <c r="F232" s="402"/>
      <c r="G232" s="402"/>
      <c r="H232" s="403"/>
      <c r="I232" s="404"/>
      <c r="J232" s="375" t="s">
        <v>396</v>
      </c>
      <c r="K232" s="375"/>
      <c r="L232" s="375"/>
      <c r="M232" s="375"/>
      <c r="N232" s="375"/>
      <c r="O232" s="357"/>
      <c r="P232" s="357"/>
    </row>
    <row r="233" spans="1:16">
      <c r="A233" s="434"/>
      <c r="B233" s="433"/>
      <c r="C233" s="434"/>
      <c r="D233" s="370"/>
      <c r="E233" s="434"/>
      <c r="F233" s="432"/>
      <c r="G233" s="432"/>
      <c r="H233" s="357"/>
      <c r="I233" s="357"/>
      <c r="J233" s="365"/>
      <c r="K233" s="357"/>
      <c r="L233" s="357"/>
      <c r="M233" s="357"/>
      <c r="N233" s="357"/>
      <c r="O233" s="357"/>
      <c r="P233" s="357"/>
    </row>
    <row r="234" spans="1:16">
      <c r="A234" s="432" t="s">
        <v>8</v>
      </c>
      <c r="B234" s="433"/>
      <c r="C234" s="434"/>
      <c r="D234" s="370"/>
      <c r="E234" s="434"/>
      <c r="F234" s="432"/>
      <c r="G234" s="432"/>
      <c r="H234" s="357"/>
      <c r="I234" s="357"/>
      <c r="J234" s="365"/>
      <c r="K234" s="357"/>
      <c r="L234" s="357"/>
      <c r="M234" s="357"/>
      <c r="N234" s="357"/>
      <c r="O234" s="357"/>
      <c r="P234" s="357"/>
    </row>
    <row r="235" spans="1:16">
      <c r="A235" s="376" t="s">
        <v>551</v>
      </c>
      <c r="B235" s="377"/>
      <c r="C235" s="378"/>
      <c r="D235" s="379"/>
      <c r="E235" s="378"/>
      <c r="F235" s="393"/>
      <c r="G235" s="393"/>
      <c r="H235" s="394"/>
      <c r="I235" s="395"/>
      <c r="J235" s="365" t="s">
        <v>552</v>
      </c>
      <c r="K235" s="357"/>
      <c r="L235" s="357"/>
      <c r="M235" s="357"/>
      <c r="N235" s="357"/>
      <c r="O235" s="357"/>
      <c r="P235" s="357"/>
    </row>
    <row r="236" spans="1:16">
      <c r="A236" s="371" t="s">
        <v>553</v>
      </c>
      <c r="B236" s="372"/>
      <c r="C236" s="373"/>
      <c r="D236" s="374"/>
      <c r="E236" s="373"/>
      <c r="F236" s="385"/>
      <c r="G236" s="385"/>
      <c r="H236" s="345"/>
      <c r="I236" s="398"/>
      <c r="J236" s="365" t="s">
        <v>554</v>
      </c>
      <c r="K236" s="357"/>
      <c r="L236" s="357"/>
      <c r="M236" s="357"/>
      <c r="N236" s="357"/>
      <c r="O236" s="357"/>
      <c r="P236" s="357"/>
    </row>
    <row r="237" spans="1:16">
      <c r="A237" s="435" t="s">
        <v>555</v>
      </c>
      <c r="B237" s="372"/>
      <c r="C237" s="373"/>
      <c r="D237" s="374"/>
      <c r="E237" s="373">
        <v>240</v>
      </c>
      <c r="F237" s="385"/>
      <c r="G237" s="373" t="s">
        <v>556</v>
      </c>
      <c r="H237" s="345">
        <f>E237+E238</f>
        <v>290</v>
      </c>
      <c r="I237" s="398"/>
      <c r="J237" s="365" t="s">
        <v>557</v>
      </c>
      <c r="K237" s="357"/>
      <c r="L237" s="357"/>
      <c r="M237" s="357"/>
      <c r="N237" s="357"/>
      <c r="O237" s="357"/>
      <c r="P237" s="357"/>
    </row>
    <row r="238" spans="1:16">
      <c r="A238" s="435" t="s">
        <v>558</v>
      </c>
      <c r="B238" s="372"/>
      <c r="C238" s="373"/>
      <c r="D238" s="374"/>
      <c r="E238" s="373">
        <v>50</v>
      </c>
      <c r="F238" s="385"/>
      <c r="G238" s="373" t="s">
        <v>559</v>
      </c>
      <c r="H238" s="345">
        <f>E237+E238+E239</f>
        <v>638</v>
      </c>
      <c r="I238" s="398"/>
      <c r="J238" s="365" t="s">
        <v>9</v>
      </c>
      <c r="K238" s="357"/>
      <c r="L238" s="357"/>
      <c r="M238" s="357"/>
      <c r="N238" s="357"/>
      <c r="O238" s="357"/>
      <c r="P238" s="357"/>
    </row>
    <row r="239" spans="1:16">
      <c r="A239" s="435" t="s">
        <v>560</v>
      </c>
      <c r="B239" s="372"/>
      <c r="C239" s="373"/>
      <c r="D239" s="374"/>
      <c r="E239" s="373">
        <v>348</v>
      </c>
      <c r="F239" s="385"/>
      <c r="G239" s="373" t="s">
        <v>561</v>
      </c>
      <c r="H239" s="390">
        <f>H237/H238</f>
        <v>0.45454545454545453</v>
      </c>
      <c r="I239" s="398"/>
      <c r="J239" s="357"/>
      <c r="K239" s="357"/>
      <c r="L239" s="357"/>
      <c r="M239" s="357"/>
      <c r="N239" s="357"/>
      <c r="O239" s="357"/>
      <c r="P239" s="357"/>
    </row>
    <row r="240" spans="1:16">
      <c r="A240" s="371"/>
      <c r="B240" s="372"/>
      <c r="C240" s="373"/>
      <c r="D240" s="374"/>
      <c r="E240" s="373"/>
      <c r="F240" s="385"/>
      <c r="G240" s="373" t="s">
        <v>562</v>
      </c>
      <c r="H240" s="390">
        <f>E237/H237</f>
        <v>0.82758620689655171</v>
      </c>
      <c r="I240" s="398"/>
      <c r="J240" s="375" t="s">
        <v>10</v>
      </c>
      <c r="K240" s="375" t="s">
        <v>10</v>
      </c>
      <c r="L240" s="375" t="s">
        <v>10</v>
      </c>
      <c r="M240" s="375"/>
      <c r="N240" s="375"/>
      <c r="O240" s="357"/>
      <c r="P240" s="357"/>
    </row>
    <row r="241" spans="1:16">
      <c r="A241" s="371" t="s">
        <v>563</v>
      </c>
      <c r="B241" s="372"/>
      <c r="C241" s="373"/>
      <c r="D241" s="374"/>
      <c r="E241" s="373"/>
      <c r="F241" s="385"/>
      <c r="G241" s="385"/>
      <c r="H241" s="345"/>
      <c r="I241" s="398"/>
      <c r="J241" s="375" t="s">
        <v>10</v>
      </c>
      <c r="K241" s="375" t="s">
        <v>10</v>
      </c>
      <c r="L241" s="375" t="s">
        <v>10</v>
      </c>
      <c r="M241" s="375"/>
      <c r="N241" s="375"/>
      <c r="O241" s="357"/>
      <c r="P241" s="357"/>
    </row>
    <row r="242" spans="1:16">
      <c r="A242" s="371" t="s">
        <v>564</v>
      </c>
      <c r="B242" s="372"/>
      <c r="C242" s="373"/>
      <c r="D242" s="374"/>
      <c r="E242" s="373"/>
      <c r="F242" s="385"/>
      <c r="G242" s="385"/>
      <c r="H242" s="345"/>
      <c r="I242" s="398"/>
      <c r="J242" s="375" t="s">
        <v>10</v>
      </c>
      <c r="K242" s="375"/>
      <c r="L242" s="375"/>
      <c r="M242" s="375"/>
      <c r="N242" s="375"/>
      <c r="O242" s="357"/>
      <c r="P242" s="357"/>
    </row>
    <row r="243" spans="1:16">
      <c r="A243" s="371" t="s">
        <v>565</v>
      </c>
      <c r="B243" s="372"/>
      <c r="C243" s="373"/>
      <c r="D243" s="374"/>
      <c r="E243" s="373"/>
      <c r="F243" s="385"/>
      <c r="G243" s="385"/>
      <c r="H243" s="345"/>
      <c r="I243" s="398"/>
      <c r="J243" s="357"/>
      <c r="K243" s="357"/>
      <c r="L243" s="357"/>
      <c r="M243" s="357"/>
      <c r="N243" s="357"/>
      <c r="O243" s="357"/>
      <c r="P243" s="357"/>
    </row>
    <row r="244" spans="1:16">
      <c r="A244" s="407"/>
      <c r="B244" s="409"/>
      <c r="C244" s="410"/>
      <c r="D244" s="411"/>
      <c r="E244" s="410"/>
      <c r="F244" s="402"/>
      <c r="G244" s="402"/>
      <c r="H244" s="403"/>
      <c r="I244" s="404"/>
      <c r="J244" s="357"/>
      <c r="K244" s="357"/>
      <c r="L244" s="357"/>
      <c r="M244" s="357"/>
      <c r="N244" s="357"/>
      <c r="O244" s="357"/>
      <c r="P244" s="357"/>
    </row>
  </sheetData>
  <phoneticPr fontId="8" type="noConversion"/>
  <printOptions headings="1" gridLines="1"/>
  <pageMargins left="0.75" right="0.75" top="1" bottom="1" header="0.5" footer="0.5"/>
  <pageSetup scale="27" orientation="landscape" horizontalDpi="4294967294" verticalDpi="4294967294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28"/>
  <sheetViews>
    <sheetView topLeftCell="A78" workbookViewId="0"/>
  </sheetViews>
  <sheetFormatPr baseColWidth="10" defaultColWidth="8.83203125" defaultRowHeight="14" x14ac:dyDescent="0"/>
  <cols>
    <col min="1" max="1" width="44.5" customWidth="1"/>
    <col min="2" max="2" width="19.1640625" customWidth="1"/>
    <col min="3" max="3" width="12.6640625" customWidth="1"/>
    <col min="4" max="4" width="11.33203125" customWidth="1"/>
    <col min="5" max="5" width="11" customWidth="1"/>
    <col min="6" max="6" width="10.83203125" customWidth="1"/>
    <col min="7" max="7" width="12.6640625" customWidth="1"/>
  </cols>
  <sheetData>
    <row r="1" spans="1:10">
      <c r="A1" s="86" t="s">
        <v>106</v>
      </c>
      <c r="B1" s="85" t="s">
        <v>258</v>
      </c>
    </row>
    <row r="2" spans="1:10" ht="18">
      <c r="A2" s="84" t="s">
        <v>264</v>
      </c>
      <c r="B2" s="83">
        <v>2004</v>
      </c>
      <c r="C2" s="83">
        <v>2004</v>
      </c>
      <c r="D2" s="83">
        <v>2005</v>
      </c>
      <c r="E2" s="82">
        <v>2006</v>
      </c>
      <c r="F2" s="82">
        <v>2007</v>
      </c>
      <c r="G2" s="82">
        <v>2008</v>
      </c>
    </row>
    <row r="3" spans="1:10" ht="18">
      <c r="A3" s="81" t="s">
        <v>257</v>
      </c>
      <c r="B3" s="80">
        <v>2694</v>
      </c>
      <c r="C3" s="79" t="s">
        <v>106</v>
      </c>
      <c r="D3" s="79"/>
      <c r="E3" s="78"/>
      <c r="F3" s="78"/>
      <c r="G3" s="78"/>
    </row>
    <row r="4" spans="1:10" ht="18">
      <c r="A4" s="81" t="s">
        <v>256</v>
      </c>
      <c r="B4" s="80"/>
      <c r="C4" s="217">
        <v>0.3362</v>
      </c>
      <c r="D4" s="218">
        <v>0.2</v>
      </c>
      <c r="E4" s="219">
        <v>0.2</v>
      </c>
      <c r="F4" s="219">
        <v>0.2</v>
      </c>
      <c r="G4" s="219">
        <v>0.2</v>
      </c>
    </row>
    <row r="5" spans="1:10" ht="18">
      <c r="A5" s="81" t="s">
        <v>255</v>
      </c>
      <c r="B5" s="80"/>
      <c r="C5" s="217">
        <f>1950/2694</f>
        <v>0.72383073496659245</v>
      </c>
      <c r="D5" s="217">
        <f>1950/2694</f>
        <v>0.72383073496659245</v>
      </c>
      <c r="E5" s="217">
        <f>1950/2694</f>
        <v>0.72383073496659245</v>
      </c>
      <c r="F5" s="217">
        <f>1950/2694</f>
        <v>0.72383073496659245</v>
      </c>
      <c r="G5" s="217">
        <f>1950/2694</f>
        <v>0.72383073496659245</v>
      </c>
    </row>
    <row r="6" spans="1:10" ht="18">
      <c r="A6" s="81" t="s">
        <v>254</v>
      </c>
      <c r="B6" s="80"/>
      <c r="C6" s="220">
        <f>658/2694</f>
        <v>0.24424647364513735</v>
      </c>
      <c r="D6" s="220">
        <f>658/2694</f>
        <v>0.24424647364513735</v>
      </c>
      <c r="E6" s="220">
        <f>658/2694</f>
        <v>0.24424647364513735</v>
      </c>
      <c r="F6" s="220">
        <f>658/2694</f>
        <v>0.24424647364513735</v>
      </c>
      <c r="G6" s="220">
        <f>658/2694</f>
        <v>0.24424647364513735</v>
      </c>
    </row>
    <row r="7" spans="1:10" ht="18">
      <c r="A7" s="81" t="s">
        <v>262</v>
      </c>
      <c r="B7" s="80" t="s">
        <v>106</v>
      </c>
      <c r="C7" s="222">
        <v>50</v>
      </c>
      <c r="D7" s="222">
        <v>43</v>
      </c>
      <c r="E7" s="222">
        <v>37</v>
      </c>
      <c r="F7" s="222">
        <v>30</v>
      </c>
      <c r="G7" s="222">
        <v>23</v>
      </c>
    </row>
    <row r="8" spans="1:10" ht="18">
      <c r="A8" s="81" t="s">
        <v>253</v>
      </c>
      <c r="B8" s="80" t="s">
        <v>106</v>
      </c>
      <c r="C8" s="222">
        <v>7</v>
      </c>
      <c r="D8" s="222">
        <v>7</v>
      </c>
      <c r="E8" s="222">
        <v>7</v>
      </c>
      <c r="F8" s="222">
        <v>7</v>
      </c>
      <c r="G8" s="222">
        <v>7</v>
      </c>
    </row>
    <row r="9" spans="1:10" ht="18">
      <c r="A9" s="81" t="s">
        <v>252</v>
      </c>
      <c r="B9" s="80" t="s">
        <v>106</v>
      </c>
      <c r="C9" s="221">
        <v>0.08</v>
      </c>
      <c r="D9" s="221">
        <v>0.08</v>
      </c>
      <c r="E9" s="221">
        <v>0.08</v>
      </c>
      <c r="F9" s="221">
        <v>0.08</v>
      </c>
      <c r="G9" s="221">
        <v>0.08</v>
      </c>
    </row>
    <row r="10" spans="1:10" ht="18">
      <c r="A10" s="81" t="s">
        <v>203</v>
      </c>
      <c r="B10" s="80"/>
      <c r="C10" s="221">
        <v>0.35</v>
      </c>
      <c r="D10" s="221">
        <v>0.35</v>
      </c>
      <c r="E10" s="221">
        <v>0.35</v>
      </c>
      <c r="F10" s="221">
        <v>0.35</v>
      </c>
      <c r="G10" s="221">
        <v>0.35</v>
      </c>
    </row>
    <row r="11" spans="1:10" ht="18">
      <c r="A11" s="81" t="s">
        <v>202</v>
      </c>
      <c r="B11" s="80"/>
      <c r="C11" s="221">
        <v>0</v>
      </c>
      <c r="D11" s="221">
        <v>0</v>
      </c>
      <c r="E11" s="221">
        <v>0</v>
      </c>
      <c r="F11" s="221">
        <v>0</v>
      </c>
      <c r="G11" s="221">
        <v>0</v>
      </c>
    </row>
    <row r="12" spans="1:10" ht="18">
      <c r="A12" s="81" t="s">
        <v>330</v>
      </c>
      <c r="B12" s="80"/>
      <c r="C12" s="221">
        <f>776/2694</f>
        <v>0.28804751299183373</v>
      </c>
      <c r="D12" s="221">
        <f>776/2694</f>
        <v>0.28804751299183373</v>
      </c>
      <c r="E12" s="221">
        <f>776/2694</f>
        <v>0.28804751299183373</v>
      </c>
      <c r="F12" s="221">
        <f>776/2694</f>
        <v>0.28804751299183373</v>
      </c>
      <c r="G12" s="221">
        <f>776/2694</f>
        <v>0.28804751299183373</v>
      </c>
    </row>
    <row r="13" spans="1:10" ht="18">
      <c r="A13" s="81" t="s">
        <v>139</v>
      </c>
      <c r="B13" s="80"/>
      <c r="C13" s="222">
        <v>157</v>
      </c>
      <c r="D13" s="222">
        <v>160</v>
      </c>
      <c r="E13" s="222">
        <v>163</v>
      </c>
      <c r="F13" s="222">
        <v>166</v>
      </c>
      <c r="G13" s="222">
        <v>168</v>
      </c>
      <c r="J13" t="s">
        <v>106</v>
      </c>
    </row>
    <row r="14" spans="1:10" ht="18">
      <c r="A14" s="81" t="s">
        <v>329</v>
      </c>
      <c r="B14" s="80"/>
      <c r="C14" s="221">
        <f>302/2694</f>
        <v>0.11210096510764662</v>
      </c>
      <c r="D14" s="221">
        <f>302/2694</f>
        <v>0.11210096510764662</v>
      </c>
      <c r="E14" s="221">
        <f>302/2694</f>
        <v>0.11210096510764662</v>
      </c>
      <c r="F14" s="221">
        <f>302/2694</f>
        <v>0.11210096510764662</v>
      </c>
      <c r="G14" s="221">
        <f>302/2694</f>
        <v>0.11210096510764662</v>
      </c>
    </row>
    <row r="15" spans="1:10" ht="18">
      <c r="A15" s="81" t="s">
        <v>328</v>
      </c>
      <c r="B15" s="80">
        <v>348</v>
      </c>
      <c r="C15" s="79"/>
      <c r="D15" s="79"/>
      <c r="E15" s="78"/>
      <c r="F15" s="78"/>
      <c r="G15" s="78"/>
    </row>
    <row r="16" spans="1:10" ht="18">
      <c r="A16" s="81"/>
      <c r="B16" s="80"/>
      <c r="C16" s="79"/>
      <c r="D16" s="79"/>
      <c r="E16" s="78"/>
      <c r="F16" s="78"/>
      <c r="G16" s="78"/>
    </row>
    <row r="17" spans="1:10" ht="18">
      <c r="A17" s="71" t="s">
        <v>237</v>
      </c>
      <c r="B17" s="66"/>
      <c r="C17" s="66"/>
      <c r="D17" s="66"/>
      <c r="E17" s="66"/>
      <c r="F17" s="66"/>
      <c r="G17" s="66"/>
    </row>
    <row r="18" spans="1:10" ht="18">
      <c r="A18" s="66"/>
      <c r="B18" s="77" t="s">
        <v>327</v>
      </c>
      <c r="C18" s="77" t="s">
        <v>326</v>
      </c>
      <c r="D18" s="76" t="s">
        <v>106</v>
      </c>
      <c r="E18" s="66"/>
      <c r="F18" s="66"/>
      <c r="G18" s="66"/>
    </row>
    <row r="19" spans="1:10" ht="18">
      <c r="A19" s="75" t="s">
        <v>264</v>
      </c>
      <c r="B19" s="74">
        <f>C2</f>
        <v>2004</v>
      </c>
      <c r="C19" s="74">
        <v>2004</v>
      </c>
      <c r="D19" s="74">
        <f>D2</f>
        <v>2005</v>
      </c>
      <c r="E19" s="74">
        <f>E2</f>
        <v>2006</v>
      </c>
      <c r="F19" s="74">
        <f>F2</f>
        <v>2007</v>
      </c>
      <c r="G19" s="74">
        <f>G2</f>
        <v>2008</v>
      </c>
    </row>
    <row r="20" spans="1:10" ht="18">
      <c r="A20" s="65" t="s">
        <v>325</v>
      </c>
      <c r="B20" s="64" t="s">
        <v>111</v>
      </c>
      <c r="C20" s="73">
        <f>B3*(1+C4)</f>
        <v>3599.7228</v>
      </c>
      <c r="D20" s="73">
        <f>C20*(1+D4)</f>
        <v>4319.6673599999995</v>
      </c>
      <c r="E20" s="73">
        <f>D20*(1+E4)</f>
        <v>5183.6008319999992</v>
      </c>
      <c r="F20" s="73">
        <f>E20*(1+F4)</f>
        <v>6220.3209983999986</v>
      </c>
      <c r="G20" s="73">
        <f>F20*(1+G4)</f>
        <v>7464.3851980799982</v>
      </c>
    </row>
    <row r="21" spans="1:10" ht="18">
      <c r="A21" s="65" t="s">
        <v>324</v>
      </c>
      <c r="B21" s="69" t="s">
        <v>112</v>
      </c>
      <c r="C21" s="68">
        <f>C5*C20</f>
        <v>2605.59</v>
      </c>
      <c r="D21" s="68">
        <f>D5*D20</f>
        <v>3126.7079999999996</v>
      </c>
      <c r="E21" s="68">
        <f>E5*E20</f>
        <v>3752.0495999999994</v>
      </c>
      <c r="F21" s="68">
        <f>F5*F20</f>
        <v>4502.4595199999994</v>
      </c>
      <c r="G21" s="68">
        <f>G5*G20</f>
        <v>5402.951423999999</v>
      </c>
    </row>
    <row r="22" spans="1:10" ht="18">
      <c r="A22" s="65" t="s">
        <v>317</v>
      </c>
      <c r="B22" s="64" t="s">
        <v>113</v>
      </c>
      <c r="C22" s="67">
        <f>C20-C21</f>
        <v>994.13279999999986</v>
      </c>
      <c r="D22" s="67">
        <f>D20-D21</f>
        <v>1192.9593599999998</v>
      </c>
      <c r="E22" s="67">
        <f>E20-E21</f>
        <v>1431.5512319999998</v>
      </c>
      <c r="F22" s="67">
        <f>F20-F21</f>
        <v>1717.8614783999992</v>
      </c>
      <c r="G22" s="67">
        <f>G20-G21</f>
        <v>2061.4337740799992</v>
      </c>
    </row>
    <row r="23" spans="1:10" ht="18">
      <c r="A23" s="65" t="s">
        <v>148</v>
      </c>
      <c r="B23" s="64" t="s">
        <v>114</v>
      </c>
      <c r="C23" s="67">
        <f>C6*C20</f>
        <v>879.21960000000001</v>
      </c>
      <c r="D23" s="67">
        <f>D6*D20</f>
        <v>1055.0635199999999</v>
      </c>
      <c r="E23" s="67">
        <f>E6*E20</f>
        <v>1266.0762239999999</v>
      </c>
      <c r="F23" s="67">
        <f>F6*F20</f>
        <v>1519.2914687999996</v>
      </c>
      <c r="G23" s="67">
        <f>G6*G20</f>
        <v>1823.1497625599995</v>
      </c>
    </row>
    <row r="24" spans="1:10" ht="18">
      <c r="A24" s="65" t="s">
        <v>175</v>
      </c>
      <c r="B24" s="69" t="s">
        <v>115</v>
      </c>
      <c r="C24" s="68">
        <f>C22-C23</f>
        <v>114.91319999999985</v>
      </c>
      <c r="D24" s="68">
        <f>D22-D23</f>
        <v>137.89583999999991</v>
      </c>
      <c r="E24" s="68">
        <f>E22-E23</f>
        <v>165.47500799999989</v>
      </c>
      <c r="F24" s="68">
        <f>F22-F23</f>
        <v>198.57000959999959</v>
      </c>
      <c r="G24" s="68">
        <f>G22-G23</f>
        <v>238.28401151999969</v>
      </c>
    </row>
    <row r="25" spans="1:10" ht="18">
      <c r="A25" s="65" t="s">
        <v>301</v>
      </c>
      <c r="B25" s="69" t="s">
        <v>199</v>
      </c>
      <c r="C25" s="72">
        <f>(C7+C8)*C9</f>
        <v>4.5600000000000005</v>
      </c>
      <c r="D25" s="72">
        <f>(D7+D8)*D9</f>
        <v>4</v>
      </c>
      <c r="E25" s="72">
        <f>(E7+E8)*E9</f>
        <v>3.52</v>
      </c>
      <c r="F25" s="72">
        <f>(F7+F8)*F9</f>
        <v>2.96</v>
      </c>
      <c r="G25" s="72">
        <f>(G7+G8)*G9</f>
        <v>2.4</v>
      </c>
    </row>
    <row r="26" spans="1:10" ht="18">
      <c r="A26" s="65" t="s">
        <v>147</v>
      </c>
      <c r="B26" s="64" t="s">
        <v>144</v>
      </c>
      <c r="C26" s="67">
        <f>C22-C23-C25</f>
        <v>110.35319999999984</v>
      </c>
      <c r="D26" s="67">
        <f>D22-D23-D25</f>
        <v>133.89583999999991</v>
      </c>
      <c r="E26" s="67">
        <f>E22-E23-E25</f>
        <v>161.95500799999988</v>
      </c>
      <c r="F26" s="67">
        <f>F22-F23-F25</f>
        <v>195.61000959999959</v>
      </c>
      <c r="G26" s="67">
        <f>G22-G23-G25</f>
        <v>235.88401151999969</v>
      </c>
    </row>
    <row r="27" spans="1:10" ht="18">
      <c r="A27" s="65" t="s">
        <v>146</v>
      </c>
      <c r="B27" s="69" t="s">
        <v>116</v>
      </c>
      <c r="C27" s="68">
        <f>C10*C26</f>
        <v>38.623619999999946</v>
      </c>
      <c r="D27" s="68">
        <f>D10*D26</f>
        <v>46.863543999999962</v>
      </c>
      <c r="E27" s="68">
        <f>E10*E26</f>
        <v>56.684252799999953</v>
      </c>
      <c r="F27" s="68">
        <f>F10*F26</f>
        <v>68.463503359999848</v>
      </c>
      <c r="G27" s="68">
        <f>G10*G26</f>
        <v>82.55940403199989</v>
      </c>
    </row>
    <row r="28" spans="1:10" ht="18">
      <c r="A28" s="65" t="s">
        <v>145</v>
      </c>
      <c r="B28" s="64" t="s">
        <v>141</v>
      </c>
      <c r="C28" s="67">
        <f>C26-C27</f>
        <v>71.729579999999899</v>
      </c>
      <c r="D28" s="67">
        <f>D26-D27</f>
        <v>87.032295999999945</v>
      </c>
      <c r="E28" s="67">
        <f>E26-E27</f>
        <v>105.27075519999993</v>
      </c>
      <c r="F28" s="67">
        <f>F26-F27</f>
        <v>127.14650623999974</v>
      </c>
      <c r="G28" s="67">
        <f>G26-G27</f>
        <v>153.3246074879998</v>
      </c>
      <c r="J28" t="s">
        <v>106</v>
      </c>
    </row>
    <row r="29" spans="1:10" ht="18">
      <c r="A29" s="65" t="s">
        <v>143</v>
      </c>
      <c r="B29" s="69" t="s">
        <v>117</v>
      </c>
      <c r="C29" s="68">
        <f>C11*C28</f>
        <v>0</v>
      </c>
      <c r="D29" s="68">
        <f>D11*D28</f>
        <v>0</v>
      </c>
      <c r="E29" s="68">
        <f>E11*E28</f>
        <v>0</v>
      </c>
      <c r="F29" s="68">
        <f>F11*F28</f>
        <v>0</v>
      </c>
      <c r="G29" s="68">
        <f>G11*G28</f>
        <v>0</v>
      </c>
    </row>
    <row r="30" spans="1:10" ht="18">
      <c r="A30" s="65" t="s">
        <v>142</v>
      </c>
      <c r="B30" s="64" t="s">
        <v>118</v>
      </c>
      <c r="C30" s="67">
        <f>C28-C29</f>
        <v>71.729579999999899</v>
      </c>
      <c r="D30" s="67">
        <f>D28-D29</f>
        <v>87.032295999999945</v>
      </c>
      <c r="E30" s="67">
        <f>E28-E29</f>
        <v>105.27075519999993</v>
      </c>
      <c r="F30" s="67">
        <f>F28-F29</f>
        <v>127.14650623999974</v>
      </c>
      <c r="G30" s="67">
        <f>G28-G29</f>
        <v>153.3246074879998</v>
      </c>
    </row>
    <row r="31" spans="1:10" ht="18">
      <c r="A31" s="66"/>
      <c r="B31" s="66"/>
      <c r="C31" s="70"/>
      <c r="D31" s="70"/>
      <c r="E31" s="70"/>
      <c r="F31" s="70"/>
      <c r="G31" s="70"/>
    </row>
    <row r="32" spans="1:10" ht="18">
      <c r="A32" s="71" t="s">
        <v>140</v>
      </c>
      <c r="B32" s="66"/>
      <c r="C32" s="70"/>
      <c r="D32" s="70"/>
      <c r="E32" s="70"/>
      <c r="F32" s="70"/>
      <c r="G32" s="70"/>
    </row>
    <row r="33" spans="1:12" ht="18">
      <c r="A33" s="65" t="s">
        <v>320</v>
      </c>
      <c r="B33" s="64" t="s">
        <v>119</v>
      </c>
      <c r="C33" s="67">
        <f>C12*C20</f>
        <v>1036.8912</v>
      </c>
      <c r="D33" s="67">
        <f>D12*D20</f>
        <v>1244.26944</v>
      </c>
      <c r="E33" s="67">
        <f>E12*E20</f>
        <v>1493.1233279999999</v>
      </c>
      <c r="F33" s="67">
        <f>F12*F20</f>
        <v>1791.7479935999997</v>
      </c>
      <c r="G33" s="67">
        <f>G12*G20</f>
        <v>2150.0975923199999</v>
      </c>
    </row>
    <row r="34" spans="1:12" ht="18">
      <c r="A34" s="65" t="s">
        <v>139</v>
      </c>
      <c r="B34" s="69" t="s">
        <v>138</v>
      </c>
      <c r="C34" s="68">
        <f>C13</f>
        <v>157</v>
      </c>
      <c r="D34" s="68">
        <f>D13</f>
        <v>160</v>
      </c>
      <c r="E34" s="68">
        <f>E13</f>
        <v>163</v>
      </c>
      <c r="F34" s="68">
        <f>F13</f>
        <v>166</v>
      </c>
      <c r="G34" s="68">
        <f>G13</f>
        <v>168</v>
      </c>
    </row>
    <row r="35" spans="1:12" ht="18">
      <c r="A35" s="65" t="s">
        <v>137</v>
      </c>
      <c r="B35" s="64" t="s">
        <v>120</v>
      </c>
      <c r="C35" s="67">
        <f>C33+C34</f>
        <v>1193.8912</v>
      </c>
      <c r="D35" s="67">
        <f>D33+D34</f>
        <v>1404.26944</v>
      </c>
      <c r="E35" s="67">
        <f>E33+E34</f>
        <v>1656.1233279999999</v>
      </c>
      <c r="F35" s="67">
        <f>F33+F34</f>
        <v>1957.7479935999997</v>
      </c>
      <c r="G35" s="67">
        <f>G33+G34</f>
        <v>2318.0975923199999</v>
      </c>
    </row>
    <row r="36" spans="1:12" ht="18">
      <c r="A36" s="65"/>
      <c r="B36" s="66"/>
      <c r="C36" s="70"/>
      <c r="D36" s="70"/>
      <c r="E36" s="70"/>
      <c r="F36" s="70"/>
      <c r="G36" s="70"/>
    </row>
    <row r="37" spans="1:12" ht="18">
      <c r="A37" s="65" t="s">
        <v>319</v>
      </c>
      <c r="B37" s="64" t="s">
        <v>121</v>
      </c>
      <c r="C37" s="67">
        <f>C14*C20</f>
        <v>403.5324</v>
      </c>
      <c r="D37" s="67">
        <f>D14*D20</f>
        <v>484.23887999999994</v>
      </c>
      <c r="E37" s="67">
        <f>E14*E20</f>
        <v>581.08665599999995</v>
      </c>
      <c r="F37" s="67">
        <f>F14*F20</f>
        <v>697.30398719999982</v>
      </c>
      <c r="G37" s="67">
        <f>G14*G20</f>
        <v>836.76478463999979</v>
      </c>
    </row>
    <row r="38" spans="1:12" ht="18">
      <c r="A38" s="65" t="s">
        <v>262</v>
      </c>
      <c r="B38" s="64" t="s">
        <v>136</v>
      </c>
      <c r="C38" s="67">
        <f>C7</f>
        <v>50</v>
      </c>
      <c r="D38" s="67">
        <v>43</v>
      </c>
      <c r="E38" s="67">
        <v>37</v>
      </c>
      <c r="F38" s="67">
        <v>30</v>
      </c>
      <c r="G38" s="67">
        <v>22</v>
      </c>
    </row>
    <row r="39" spans="1:12" ht="18">
      <c r="A39" s="65" t="s">
        <v>135</v>
      </c>
      <c r="B39" s="69" t="s">
        <v>122</v>
      </c>
      <c r="C39" s="68">
        <f>B15+C30</f>
        <v>419.72957999999988</v>
      </c>
      <c r="D39" s="68">
        <f>C39+D30</f>
        <v>506.7618759999998</v>
      </c>
      <c r="E39" s="68">
        <f>D39+E30</f>
        <v>612.03263119999974</v>
      </c>
      <c r="F39" s="68">
        <f>E39+F30</f>
        <v>739.17913743999952</v>
      </c>
      <c r="G39" s="68">
        <f>F39+G30</f>
        <v>892.50374492799938</v>
      </c>
    </row>
    <row r="40" spans="1:12" ht="18">
      <c r="A40" s="65" t="s">
        <v>134</v>
      </c>
      <c r="B40" s="64" t="s">
        <v>123</v>
      </c>
      <c r="C40" s="67">
        <f>C37+C38+C39</f>
        <v>873.26197999999988</v>
      </c>
      <c r="D40" s="67">
        <f>D37+D38+D39</f>
        <v>1034.0007559999997</v>
      </c>
      <c r="E40" s="67">
        <f>E37+E38+E39</f>
        <v>1230.1192871999997</v>
      </c>
      <c r="F40" s="67">
        <f>F37+F38+F39</f>
        <v>1466.4831246399995</v>
      </c>
      <c r="G40" s="67">
        <f>G37+G38+G39</f>
        <v>1751.2685295679992</v>
      </c>
    </row>
    <row r="41" spans="1:12" ht="18">
      <c r="A41" s="65" t="s">
        <v>133</v>
      </c>
      <c r="B41" s="66"/>
      <c r="C41" s="66"/>
      <c r="D41" s="66"/>
      <c r="E41" s="66"/>
      <c r="F41" s="66"/>
      <c r="G41" s="66"/>
    </row>
    <row r="42" spans="1:12" ht="18">
      <c r="A42" s="65" t="s">
        <v>265</v>
      </c>
      <c r="B42" s="64" t="s">
        <v>124</v>
      </c>
      <c r="C42" s="63">
        <f>C35-C40</f>
        <v>320.62922000000015</v>
      </c>
      <c r="D42" s="63">
        <f>D35-D40</f>
        <v>370.26868400000035</v>
      </c>
      <c r="E42" s="63">
        <f>E35-E40</f>
        <v>426.00404080000021</v>
      </c>
      <c r="F42" s="63">
        <f>F35-F40</f>
        <v>491.26486896000029</v>
      </c>
      <c r="G42" s="63">
        <f>G35-G40</f>
        <v>566.82906275200071</v>
      </c>
    </row>
    <row r="43" spans="1:12">
      <c r="A43" s="266"/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</row>
    <row r="44" spans="1:12">
      <c r="A44" s="266"/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</row>
    <row r="45" spans="1:12">
      <c r="A45" s="267" t="s">
        <v>101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</row>
    <row r="46" spans="1:12">
      <c r="A46" s="267" t="s">
        <v>99</v>
      </c>
      <c r="B46" s="266"/>
      <c r="C46" s="266"/>
      <c r="D46" s="266"/>
      <c r="E46" s="266"/>
      <c r="F46" s="266"/>
      <c r="G46" s="266"/>
    </row>
    <row r="47" spans="1:12">
      <c r="A47" s="267" t="s">
        <v>64</v>
      </c>
      <c r="B47" s="266"/>
      <c r="C47" s="266"/>
      <c r="D47" s="266"/>
      <c r="E47" s="266"/>
      <c r="F47" s="266"/>
      <c r="G47" s="266"/>
    </row>
    <row r="48" spans="1:12">
      <c r="A48" s="267" t="s">
        <v>65</v>
      </c>
      <c r="B48" s="266"/>
      <c r="C48" s="266"/>
      <c r="D48" s="266"/>
      <c r="E48" s="266"/>
      <c r="F48" s="266"/>
      <c r="G48" s="266"/>
    </row>
    <row r="49" spans="1:7">
      <c r="A49" s="268" t="s">
        <v>385</v>
      </c>
      <c r="B49" s="269"/>
      <c r="C49" s="269"/>
      <c r="D49" s="269"/>
      <c r="E49" s="269"/>
      <c r="F49" s="269"/>
      <c r="G49" s="270"/>
    </row>
    <row r="50" spans="1:7">
      <c r="A50" s="271" t="s">
        <v>386</v>
      </c>
      <c r="B50" s="272"/>
      <c r="C50" s="272"/>
      <c r="D50" s="272"/>
      <c r="E50" s="272"/>
      <c r="F50" s="272"/>
      <c r="G50" s="273"/>
    </row>
    <row r="51" spans="1:7">
      <c r="A51" s="271" t="s">
        <v>387</v>
      </c>
      <c r="B51" s="272"/>
      <c r="C51" s="272"/>
      <c r="D51" s="272"/>
      <c r="E51" s="272"/>
      <c r="F51" s="272"/>
      <c r="G51" s="273"/>
    </row>
    <row r="52" spans="1:7">
      <c r="A52" s="271" t="s">
        <v>387</v>
      </c>
      <c r="B52" s="272"/>
      <c r="C52" s="272"/>
      <c r="D52" s="272"/>
      <c r="E52" s="272"/>
      <c r="F52" s="272"/>
      <c r="G52" s="273"/>
    </row>
    <row r="53" spans="1:7">
      <c r="A53" s="271"/>
      <c r="B53" s="272"/>
      <c r="C53" s="272"/>
      <c r="D53" s="272"/>
      <c r="E53" s="272"/>
      <c r="F53" s="272"/>
      <c r="G53" s="273"/>
    </row>
    <row r="54" spans="1:7">
      <c r="A54" s="271" t="s">
        <v>388</v>
      </c>
      <c r="B54" s="272"/>
      <c r="C54" s="272"/>
      <c r="D54" s="272"/>
      <c r="E54" s="272"/>
      <c r="F54" s="272"/>
      <c r="G54" s="273"/>
    </row>
    <row r="55" spans="1:7">
      <c r="A55" s="271" t="s">
        <v>389</v>
      </c>
      <c r="B55" s="272"/>
      <c r="C55" s="272"/>
      <c r="D55" s="272"/>
      <c r="E55" s="272"/>
      <c r="F55" s="272"/>
      <c r="G55" s="273"/>
    </row>
    <row r="56" spans="1:7">
      <c r="A56" s="271" t="s">
        <v>390</v>
      </c>
      <c r="B56" s="272"/>
      <c r="C56" s="272"/>
      <c r="D56" s="272"/>
      <c r="E56" s="272"/>
      <c r="F56" s="272"/>
      <c r="G56" s="273"/>
    </row>
    <row r="57" spans="1:7">
      <c r="A57" s="271" t="s">
        <v>391</v>
      </c>
      <c r="B57" s="272"/>
      <c r="C57" s="272"/>
      <c r="D57" s="272"/>
      <c r="E57" s="272"/>
      <c r="F57" s="272"/>
      <c r="G57" s="273"/>
    </row>
    <row r="58" spans="1:7">
      <c r="A58" s="271" t="s">
        <v>392</v>
      </c>
      <c r="B58" s="272"/>
      <c r="C58" s="272"/>
      <c r="D58" s="272"/>
      <c r="E58" s="272"/>
      <c r="F58" s="272"/>
      <c r="G58" s="273"/>
    </row>
    <row r="59" spans="1:7">
      <c r="A59" s="271"/>
      <c r="B59" s="272"/>
      <c r="C59" s="272"/>
      <c r="D59" s="272"/>
      <c r="E59" s="272"/>
      <c r="F59" s="272"/>
      <c r="G59" s="273"/>
    </row>
    <row r="60" spans="1:7">
      <c r="A60" s="271" t="s">
        <v>392</v>
      </c>
      <c r="B60" s="272"/>
      <c r="C60" s="272"/>
      <c r="D60" s="272"/>
      <c r="E60" s="272"/>
      <c r="F60" s="272"/>
      <c r="G60" s="273"/>
    </row>
    <row r="61" spans="1:7">
      <c r="A61" s="271" t="s">
        <v>393</v>
      </c>
      <c r="B61" s="272"/>
      <c r="C61" s="272"/>
      <c r="D61" s="272"/>
      <c r="E61" s="272"/>
      <c r="F61" s="272"/>
      <c r="G61" s="273"/>
    </row>
    <row r="62" spans="1:7">
      <c r="A62" s="271"/>
      <c r="B62" s="272"/>
      <c r="C62" s="272"/>
      <c r="D62" s="272"/>
      <c r="E62" s="272"/>
      <c r="F62" s="272"/>
      <c r="G62" s="273"/>
    </row>
    <row r="63" spans="1:7">
      <c r="A63" s="274"/>
      <c r="B63" s="275"/>
      <c r="C63" s="275"/>
      <c r="D63" s="275"/>
      <c r="E63" s="275"/>
      <c r="F63" s="275"/>
      <c r="G63" s="276"/>
    </row>
    <row r="64" spans="1:7">
      <c r="A64" s="266"/>
      <c r="B64" s="266"/>
      <c r="C64" s="266"/>
      <c r="D64" s="266"/>
      <c r="E64" s="266"/>
      <c r="F64" s="266"/>
      <c r="G64" s="266"/>
    </row>
    <row r="65" spans="1:7">
      <c r="A65" s="267" t="s">
        <v>102</v>
      </c>
      <c r="B65" s="266"/>
      <c r="C65" s="266"/>
      <c r="D65" s="266"/>
      <c r="E65" s="266"/>
      <c r="F65" s="266"/>
      <c r="G65" s="266"/>
    </row>
    <row r="66" spans="1:7">
      <c r="A66" s="267" t="s">
        <v>131</v>
      </c>
      <c r="B66" s="266"/>
      <c r="C66" s="266"/>
      <c r="D66" s="266"/>
      <c r="E66" s="266"/>
      <c r="F66" s="266"/>
      <c r="G66" s="266"/>
    </row>
    <row r="67" spans="1:7">
      <c r="A67" s="268" t="s">
        <v>394</v>
      </c>
      <c r="B67" s="269"/>
      <c r="C67" s="269"/>
      <c r="D67" s="269"/>
      <c r="E67" s="269" t="s">
        <v>387</v>
      </c>
      <c r="F67" s="269"/>
      <c r="G67" s="270"/>
    </row>
    <row r="68" spans="1:7">
      <c r="A68" s="271" t="s">
        <v>387</v>
      </c>
      <c r="B68" s="272"/>
      <c r="C68" s="272"/>
      <c r="D68" s="272"/>
      <c r="E68" s="272"/>
      <c r="F68" s="272"/>
      <c r="G68" s="273"/>
    </row>
    <row r="69" spans="1:7">
      <c r="A69" s="271" t="s">
        <v>207</v>
      </c>
      <c r="B69" s="272"/>
      <c r="C69" s="272"/>
      <c r="D69" s="272"/>
      <c r="E69" s="272"/>
      <c r="F69" s="272"/>
      <c r="G69" s="273"/>
    </row>
    <row r="70" spans="1:7">
      <c r="A70" s="271"/>
      <c r="B70" s="272"/>
      <c r="C70" s="272"/>
      <c r="D70" s="272"/>
      <c r="E70" s="272"/>
      <c r="F70" s="272"/>
      <c r="G70" s="273"/>
    </row>
    <row r="71" spans="1:7">
      <c r="A71" s="271" t="s">
        <v>395</v>
      </c>
      <c r="B71" s="272"/>
      <c r="C71" s="257"/>
      <c r="D71" s="257"/>
      <c r="E71" s="257"/>
      <c r="F71" s="257"/>
      <c r="G71" s="287"/>
    </row>
    <row r="72" spans="1:7">
      <c r="A72" s="271"/>
      <c r="B72" s="272" t="s">
        <v>397</v>
      </c>
      <c r="C72" s="279" t="s">
        <v>398</v>
      </c>
      <c r="D72" s="279" t="s">
        <v>207</v>
      </c>
      <c r="E72" s="279" t="s">
        <v>207</v>
      </c>
      <c r="F72" s="279" t="s">
        <v>207</v>
      </c>
      <c r="G72" s="280" t="s">
        <v>207</v>
      </c>
    </row>
    <row r="73" spans="1:7">
      <c r="A73" s="271"/>
      <c r="B73" s="272" t="s">
        <v>398</v>
      </c>
      <c r="C73" s="272"/>
      <c r="D73" s="279" t="s">
        <v>207</v>
      </c>
      <c r="E73" s="279" t="s">
        <v>207</v>
      </c>
      <c r="F73" s="279" t="s">
        <v>387</v>
      </c>
      <c r="G73" s="280" t="s">
        <v>207</v>
      </c>
    </row>
    <row r="74" spans="1:7">
      <c r="A74" s="271"/>
      <c r="B74" s="272"/>
      <c r="C74" s="272"/>
      <c r="D74" s="272"/>
      <c r="E74" s="272"/>
      <c r="F74" s="272"/>
      <c r="G74" s="273"/>
    </row>
    <row r="75" spans="1:7">
      <c r="A75" s="271" t="s">
        <v>396</v>
      </c>
      <c r="B75" s="272"/>
      <c r="C75" s="272"/>
      <c r="D75" s="272"/>
      <c r="E75" s="272"/>
      <c r="F75" s="272"/>
      <c r="G75" s="273"/>
    </row>
    <row r="76" spans="1:7">
      <c r="A76" s="271" t="s">
        <v>207</v>
      </c>
      <c r="B76" s="272"/>
      <c r="C76" s="272"/>
      <c r="D76" s="272"/>
      <c r="E76" s="272"/>
      <c r="F76" s="272"/>
      <c r="G76" s="273"/>
    </row>
    <row r="77" spans="1:7">
      <c r="A77" s="271"/>
      <c r="B77" s="272"/>
      <c r="C77" s="272"/>
      <c r="D77" s="272"/>
      <c r="E77" s="272"/>
      <c r="F77" s="272"/>
      <c r="G77" s="273"/>
    </row>
    <row r="78" spans="1:7">
      <c r="A78" s="274"/>
      <c r="B78" s="275"/>
      <c r="C78" s="275"/>
      <c r="D78" s="275"/>
      <c r="E78" s="275"/>
      <c r="F78" s="275"/>
      <c r="G78" s="276"/>
    </row>
    <row r="79" spans="1:7">
      <c r="A79" s="266"/>
      <c r="B79" s="266"/>
      <c r="C79" s="266"/>
      <c r="D79" s="266"/>
      <c r="E79" s="266"/>
      <c r="F79" s="266"/>
      <c r="G79" s="266"/>
    </row>
    <row r="80" spans="1:7">
      <c r="A80" s="267" t="s">
        <v>103</v>
      </c>
      <c r="B80" s="266"/>
      <c r="C80" s="266"/>
      <c r="D80" s="266"/>
      <c r="E80" s="266"/>
      <c r="F80" s="266"/>
      <c r="G80" s="266"/>
    </row>
    <row r="81" spans="1:7">
      <c r="A81" s="267" t="s">
        <v>132</v>
      </c>
      <c r="B81" s="266"/>
      <c r="C81" s="266"/>
      <c r="D81" s="266"/>
      <c r="E81" s="266"/>
      <c r="F81" s="266"/>
      <c r="G81" s="266"/>
    </row>
    <row r="82" spans="1:7">
      <c r="A82" s="268" t="s">
        <v>399</v>
      </c>
      <c r="B82" s="269"/>
      <c r="C82" s="269"/>
      <c r="D82" s="269"/>
      <c r="E82" s="269"/>
      <c r="F82" s="269"/>
      <c r="G82" s="270"/>
    </row>
    <row r="83" spans="1:7">
      <c r="A83" s="271"/>
      <c r="B83" s="272"/>
      <c r="C83" s="257"/>
      <c r="D83" s="257"/>
      <c r="E83" s="257"/>
      <c r="F83" s="257"/>
      <c r="G83" s="287"/>
    </row>
    <row r="84" spans="1:7">
      <c r="A84" s="271"/>
      <c r="B84" s="272" t="s">
        <v>207</v>
      </c>
      <c r="C84" s="281" t="s">
        <v>207</v>
      </c>
      <c r="D84" s="281" t="s">
        <v>207</v>
      </c>
      <c r="E84" s="281" t="s">
        <v>207</v>
      </c>
      <c r="F84" s="281" t="s">
        <v>207</v>
      </c>
      <c r="G84" s="282" t="s">
        <v>207</v>
      </c>
    </row>
    <row r="85" spans="1:7">
      <c r="A85" s="271"/>
      <c r="B85" s="272" t="s">
        <v>400</v>
      </c>
      <c r="C85" s="281" t="s">
        <v>207</v>
      </c>
      <c r="D85" s="281" t="s">
        <v>207</v>
      </c>
      <c r="E85" s="281" t="s">
        <v>207</v>
      </c>
      <c r="F85" s="281" t="s">
        <v>207</v>
      </c>
      <c r="G85" s="282" t="s">
        <v>207</v>
      </c>
    </row>
    <row r="86" spans="1:7">
      <c r="A86" s="271"/>
      <c r="B86" s="272" t="s">
        <v>401</v>
      </c>
      <c r="C86" s="283" t="s">
        <v>403</v>
      </c>
      <c r="D86" s="283" t="s">
        <v>207</v>
      </c>
      <c r="E86" s="283" t="s">
        <v>405</v>
      </c>
      <c r="F86" s="283" t="s">
        <v>207</v>
      </c>
      <c r="G86" s="284" t="s">
        <v>207</v>
      </c>
    </row>
    <row r="87" spans="1:7">
      <c r="A87" s="271"/>
      <c r="B87" s="272" t="s">
        <v>402</v>
      </c>
      <c r="C87" s="281" t="s">
        <v>403</v>
      </c>
      <c r="D87" s="281" t="s">
        <v>207</v>
      </c>
      <c r="E87" s="281" t="s">
        <v>207</v>
      </c>
      <c r="F87" s="281" t="s">
        <v>207</v>
      </c>
      <c r="G87" s="282" t="s">
        <v>207</v>
      </c>
    </row>
    <row r="88" spans="1:7">
      <c r="A88" s="271"/>
      <c r="B88" s="272" t="s">
        <v>207</v>
      </c>
      <c r="C88" s="285" t="s">
        <v>388</v>
      </c>
      <c r="D88" s="285" t="s">
        <v>404</v>
      </c>
      <c r="E88" s="285" t="s">
        <v>207</v>
      </c>
      <c r="F88" s="285" t="s">
        <v>388</v>
      </c>
      <c r="G88" s="286" t="s">
        <v>207</v>
      </c>
    </row>
    <row r="89" spans="1:7">
      <c r="A89" s="271"/>
      <c r="B89" s="272"/>
      <c r="C89" s="272"/>
      <c r="D89" s="272"/>
      <c r="E89" s="272"/>
      <c r="F89" s="272"/>
      <c r="G89" s="273"/>
    </row>
    <row r="90" spans="1:7">
      <c r="A90" s="271" t="s">
        <v>207</v>
      </c>
      <c r="B90" s="272"/>
      <c r="C90" s="272"/>
      <c r="D90" s="272"/>
      <c r="E90" s="272"/>
      <c r="F90" s="272"/>
      <c r="G90" s="273"/>
    </row>
    <row r="91" spans="1:7">
      <c r="A91" s="271"/>
      <c r="B91" s="272"/>
      <c r="C91" s="272"/>
      <c r="D91" s="272"/>
      <c r="E91" s="272"/>
      <c r="F91" s="272"/>
      <c r="G91" s="273"/>
    </row>
    <row r="92" spans="1:7">
      <c r="A92" s="271"/>
      <c r="B92" s="272"/>
      <c r="C92" s="272"/>
      <c r="D92" s="272"/>
      <c r="E92" s="272"/>
      <c r="F92" s="272"/>
      <c r="G92" s="273"/>
    </row>
    <row r="93" spans="1:7">
      <c r="A93" s="274"/>
      <c r="B93" s="275"/>
      <c r="C93" s="275"/>
      <c r="D93" s="275"/>
      <c r="E93" s="275"/>
      <c r="F93" s="275"/>
      <c r="G93" s="276"/>
    </row>
    <row r="94" spans="1:7">
      <c r="A94" s="266"/>
      <c r="B94" s="266"/>
      <c r="C94" s="266"/>
      <c r="D94" s="266"/>
      <c r="E94" s="266"/>
      <c r="F94" s="266"/>
      <c r="G94" s="266"/>
    </row>
    <row r="95" spans="1:7">
      <c r="A95" s="267" t="s">
        <v>104</v>
      </c>
      <c r="B95" s="266"/>
      <c r="C95" s="266"/>
      <c r="D95" s="266"/>
      <c r="E95" s="266"/>
      <c r="F95" s="266"/>
      <c r="G95" s="266"/>
    </row>
    <row r="96" spans="1:7">
      <c r="A96" s="267" t="s">
        <v>57</v>
      </c>
      <c r="B96" s="267"/>
      <c r="C96" s="267"/>
      <c r="D96" s="267"/>
      <c r="E96" s="267"/>
      <c r="F96" s="266"/>
      <c r="G96" s="266"/>
    </row>
    <row r="97" spans="1:7">
      <c r="A97" s="268" t="s">
        <v>387</v>
      </c>
      <c r="B97" s="269"/>
      <c r="C97" s="269"/>
      <c r="D97" s="269"/>
      <c r="E97" s="269"/>
      <c r="F97" s="269"/>
      <c r="G97" s="270"/>
    </row>
    <row r="98" spans="1:7">
      <c r="A98" s="271" t="s">
        <v>207</v>
      </c>
      <c r="B98" s="272"/>
      <c r="C98" s="272"/>
      <c r="D98" s="272"/>
      <c r="E98" s="272"/>
      <c r="F98" s="272"/>
      <c r="G98" s="273"/>
    </row>
    <row r="99" spans="1:7">
      <c r="A99" s="271"/>
      <c r="B99" s="272"/>
      <c r="C99" s="272" t="s">
        <v>406</v>
      </c>
      <c r="D99" s="272"/>
      <c r="E99" s="272"/>
      <c r="F99" s="272"/>
      <c r="G99" s="273"/>
    </row>
    <row r="100" spans="1:7">
      <c r="A100" s="271"/>
      <c r="B100" s="272"/>
      <c r="C100" s="272"/>
      <c r="D100" s="272"/>
      <c r="E100" s="272"/>
      <c r="F100" s="272"/>
      <c r="G100" s="273"/>
    </row>
    <row r="101" spans="1:7">
      <c r="A101" s="271"/>
      <c r="B101" s="272"/>
      <c r="C101" s="272"/>
      <c r="D101" s="272"/>
      <c r="E101" s="272"/>
      <c r="F101" s="272"/>
      <c r="G101" s="273"/>
    </row>
    <row r="102" spans="1:7">
      <c r="A102" s="271"/>
      <c r="B102" s="272"/>
      <c r="C102" s="272"/>
      <c r="D102" s="272"/>
      <c r="E102" s="272"/>
      <c r="F102" s="272"/>
      <c r="G102" s="273"/>
    </row>
    <row r="103" spans="1:7">
      <c r="A103" s="271"/>
      <c r="B103" s="272"/>
      <c r="C103" s="272"/>
      <c r="D103" s="272"/>
      <c r="E103" s="272"/>
      <c r="F103" s="272"/>
      <c r="G103" s="273"/>
    </row>
    <row r="104" spans="1:7">
      <c r="A104" s="271"/>
      <c r="B104" s="272"/>
      <c r="C104" s="272"/>
      <c r="D104" s="272"/>
      <c r="E104" s="272"/>
      <c r="F104" s="272"/>
      <c r="G104" s="273"/>
    </row>
    <row r="105" spans="1:7">
      <c r="A105" s="271"/>
      <c r="B105" s="272"/>
      <c r="C105" s="272"/>
      <c r="D105" s="272"/>
      <c r="E105" s="272"/>
      <c r="F105" s="272"/>
      <c r="G105" s="273"/>
    </row>
    <row r="106" spans="1:7">
      <c r="A106" s="271"/>
      <c r="B106" s="272"/>
      <c r="C106" s="272"/>
      <c r="D106" s="272"/>
      <c r="E106" s="272"/>
      <c r="F106" s="272"/>
      <c r="G106" s="273"/>
    </row>
    <row r="107" spans="1:7">
      <c r="A107" s="274"/>
      <c r="B107" s="275"/>
      <c r="C107" s="275"/>
      <c r="D107" s="275"/>
      <c r="E107" s="275"/>
      <c r="F107" s="275"/>
      <c r="G107" s="276"/>
    </row>
    <row r="108" spans="1:7">
      <c r="A108" s="266"/>
      <c r="B108" s="266"/>
      <c r="C108" s="266"/>
      <c r="D108" s="266"/>
      <c r="E108" s="266"/>
      <c r="F108" s="266"/>
      <c r="G108" s="266"/>
    </row>
    <row r="109" spans="1:7">
      <c r="A109" s="266"/>
      <c r="B109" s="266"/>
      <c r="C109" s="266"/>
      <c r="D109" s="266"/>
      <c r="E109" s="266"/>
      <c r="F109" s="266"/>
      <c r="G109" s="266"/>
    </row>
    <row r="110" spans="1:7">
      <c r="A110" s="266"/>
      <c r="B110" s="266"/>
      <c r="C110" s="266"/>
      <c r="D110" s="266"/>
      <c r="E110" s="266"/>
      <c r="F110" s="266"/>
      <c r="G110" s="266"/>
    </row>
    <row r="111" spans="1:7">
      <c r="A111" s="266"/>
      <c r="B111" s="266"/>
      <c r="C111" s="266"/>
      <c r="D111" s="266"/>
      <c r="E111" s="266"/>
      <c r="F111" s="266"/>
      <c r="G111" s="266"/>
    </row>
    <row r="112" spans="1:7">
      <c r="A112" s="266"/>
      <c r="B112" s="266"/>
      <c r="C112" s="266"/>
      <c r="D112" s="266"/>
      <c r="E112" s="266"/>
      <c r="F112" s="266"/>
      <c r="G112" s="266"/>
    </row>
    <row r="113" spans="1:12">
      <c r="A113" s="266"/>
      <c r="B113" s="266"/>
      <c r="C113" s="266"/>
      <c r="D113" s="266"/>
      <c r="E113" s="266"/>
      <c r="F113" s="266"/>
      <c r="G113" s="266"/>
    </row>
    <row r="114" spans="1:12">
      <c r="A114" s="266"/>
      <c r="B114" s="266"/>
      <c r="C114" s="266"/>
      <c r="D114" s="266"/>
      <c r="E114" s="266"/>
      <c r="F114" s="266"/>
      <c r="G114" s="266"/>
    </row>
    <row r="115" spans="1:12">
      <c r="A115" s="266"/>
      <c r="B115" s="266"/>
      <c r="C115" s="266"/>
      <c r="D115" s="266"/>
      <c r="E115" s="266"/>
      <c r="F115" s="266"/>
      <c r="G115" s="266"/>
    </row>
    <row r="116" spans="1:12">
      <c r="A116" s="266"/>
      <c r="B116" s="266"/>
      <c r="C116" s="266"/>
      <c r="D116" s="266"/>
      <c r="E116" s="266"/>
      <c r="F116" s="266"/>
      <c r="G116" s="266"/>
    </row>
    <row r="117" spans="1:12">
      <c r="A117" s="266"/>
      <c r="B117" s="266"/>
      <c r="C117" s="266"/>
      <c r="D117" s="266"/>
      <c r="E117" s="266"/>
      <c r="F117" s="266"/>
      <c r="G117" s="266"/>
    </row>
    <row r="118" spans="1:12">
      <c r="A118" s="266"/>
      <c r="B118" s="266"/>
      <c r="C118" s="266"/>
      <c r="D118" s="266"/>
      <c r="E118" s="266"/>
      <c r="F118" s="266"/>
      <c r="G118" s="266"/>
    </row>
    <row r="119" spans="1:12">
      <c r="A119" s="266"/>
      <c r="B119" s="266"/>
      <c r="C119" s="266"/>
      <c r="D119" s="266"/>
      <c r="E119" s="266"/>
      <c r="F119" s="266"/>
      <c r="G119" s="266"/>
    </row>
    <row r="120" spans="1:12">
      <c r="A120" s="266"/>
      <c r="B120" s="266"/>
      <c r="C120" s="266"/>
      <c r="D120" s="266"/>
      <c r="E120" s="266"/>
      <c r="F120" s="266"/>
      <c r="G120" s="266"/>
    </row>
    <row r="121" spans="1:12">
      <c r="A121" s="266"/>
      <c r="B121" s="266"/>
      <c r="C121" s="266"/>
      <c r="D121" s="266"/>
      <c r="E121" s="266"/>
      <c r="F121" s="266"/>
      <c r="G121" s="266"/>
    </row>
    <row r="122" spans="1:12">
      <c r="A122" s="266"/>
      <c r="B122" s="266"/>
      <c r="C122" s="266"/>
      <c r="D122" s="266"/>
      <c r="E122" s="266"/>
      <c r="F122" s="266"/>
      <c r="G122" s="266"/>
    </row>
    <row r="123" spans="1:12">
      <c r="A123" s="266"/>
      <c r="B123" s="266"/>
      <c r="C123" s="266"/>
      <c r="D123" s="266"/>
      <c r="E123" s="266"/>
      <c r="F123" s="266"/>
      <c r="G123" s="266"/>
    </row>
    <row r="124" spans="1:12">
      <c r="A124" s="266"/>
      <c r="B124" s="266"/>
      <c r="C124" s="266"/>
      <c r="D124" s="266"/>
      <c r="E124" s="266"/>
      <c r="F124" s="266"/>
      <c r="G124" s="266"/>
    </row>
    <row r="125" spans="1:12">
      <c r="A125" s="266"/>
      <c r="B125" s="266"/>
      <c r="C125" s="266"/>
      <c r="D125" s="266"/>
      <c r="E125" s="266"/>
      <c r="F125" s="266"/>
      <c r="G125" s="266"/>
    </row>
    <row r="126" spans="1:12">
      <c r="A126" s="266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</row>
    <row r="127" spans="1:12">
      <c r="A127" s="266"/>
      <c r="B127" s="266"/>
      <c r="C127" s="266"/>
      <c r="D127" s="266"/>
      <c r="E127" s="266"/>
      <c r="F127" s="266"/>
      <c r="G127" s="266"/>
      <c r="H127" s="266"/>
      <c r="I127" s="266"/>
      <c r="J127" s="266"/>
      <c r="K127" s="266"/>
      <c r="L127" s="266"/>
    </row>
    <row r="128" spans="1:12">
      <c r="A128" s="266"/>
      <c r="B128" s="266"/>
      <c r="C128" s="266"/>
      <c r="D128" s="266"/>
      <c r="E128" s="266"/>
      <c r="F128" s="266"/>
      <c r="G128" s="266"/>
      <c r="H128" s="266"/>
      <c r="I128" s="266"/>
      <c r="J128" s="266"/>
      <c r="K128" s="266"/>
      <c r="L128" s="266"/>
    </row>
  </sheetData>
  <phoneticPr fontId="8" type="noConversion"/>
  <printOptions headings="1" gridLine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139"/>
  <sheetViews>
    <sheetView zoomScaleNormal="125" zoomScalePageLayoutView="125" workbookViewId="0">
      <selection activeCell="I15" sqref="I15"/>
    </sheetView>
  </sheetViews>
  <sheetFormatPr baseColWidth="10" defaultColWidth="8.83203125" defaultRowHeight="14" x14ac:dyDescent="0"/>
  <cols>
    <col min="1" max="1" width="31.1640625" customWidth="1"/>
    <col min="2" max="2" width="5.33203125" hidden="1" customWidth="1"/>
    <col min="3" max="3" width="4.83203125" hidden="1" customWidth="1"/>
    <col min="4" max="4" width="5.33203125" hidden="1" customWidth="1"/>
    <col min="5" max="5" width="11" customWidth="1"/>
    <col min="8" max="8" width="20.5" customWidth="1"/>
    <col min="13" max="13" width="11.5" customWidth="1"/>
    <col min="16" max="16" width="9.5" customWidth="1"/>
    <col min="19" max="19" width="31" customWidth="1"/>
  </cols>
  <sheetData>
    <row r="1" spans="1:19" ht="15">
      <c r="A1" s="87" t="s">
        <v>216</v>
      </c>
      <c r="B1" s="87"/>
      <c r="C1" s="87"/>
      <c r="D1" s="87"/>
      <c r="E1" s="88"/>
      <c r="F1" s="88"/>
      <c r="G1" s="88"/>
      <c r="H1" s="88"/>
      <c r="J1" s="88"/>
      <c r="K1" s="88"/>
      <c r="L1" s="88"/>
      <c r="M1" s="88"/>
      <c r="N1" s="88"/>
      <c r="O1" s="89"/>
      <c r="P1" s="88"/>
      <c r="Q1" s="90"/>
      <c r="R1" s="90"/>
    </row>
    <row r="2" spans="1:19">
      <c r="A2" s="91"/>
      <c r="B2" s="92" t="s">
        <v>217</v>
      </c>
      <c r="C2" s="91"/>
      <c r="E2" s="91"/>
      <c r="F2" s="91"/>
      <c r="G2" s="91"/>
      <c r="H2" s="91"/>
      <c r="I2" s="86" t="s">
        <v>233</v>
      </c>
      <c r="J2" s="88"/>
      <c r="K2" s="88"/>
      <c r="L2" s="88"/>
      <c r="M2" s="88"/>
      <c r="N2" s="88"/>
      <c r="O2" s="88"/>
      <c r="P2" s="88"/>
      <c r="Q2" s="90"/>
      <c r="R2" s="90"/>
    </row>
    <row r="3" spans="1:19">
      <c r="A3" s="88" t="s">
        <v>237</v>
      </c>
      <c r="B3" s="88"/>
      <c r="C3" s="88" t="s">
        <v>106</v>
      </c>
      <c r="D3" s="93" t="s">
        <v>106</v>
      </c>
      <c r="E3" s="93" t="s">
        <v>234</v>
      </c>
      <c r="F3" s="93"/>
      <c r="G3" s="93"/>
      <c r="N3" s="93"/>
      <c r="O3" s="93"/>
      <c r="P3" s="93"/>
      <c r="Q3" s="94"/>
      <c r="R3" s="94"/>
      <c r="S3" s="88" t="s">
        <v>237</v>
      </c>
    </row>
    <row r="4" spans="1:19">
      <c r="A4" s="91" t="s">
        <v>106</v>
      </c>
      <c r="B4" s="91" t="s">
        <v>235</v>
      </c>
      <c r="C4" s="91"/>
      <c r="H4" s="95" t="s">
        <v>218</v>
      </c>
      <c r="I4" s="96"/>
      <c r="J4" s="96"/>
      <c r="K4" s="96"/>
      <c r="L4" s="96"/>
      <c r="M4" s="96"/>
      <c r="N4" s="97" t="s">
        <v>219</v>
      </c>
      <c r="O4" s="97"/>
      <c r="P4" s="97"/>
      <c r="Q4" s="97"/>
      <c r="R4" s="97"/>
      <c r="S4" s="91" t="s">
        <v>106</v>
      </c>
    </row>
    <row r="5" spans="1:19">
      <c r="A5" s="98" t="s">
        <v>220</v>
      </c>
      <c r="B5" s="93">
        <f t="shared" ref="B5:D6" si="0">C5-1</f>
        <v>-5</v>
      </c>
      <c r="C5" s="93">
        <f t="shared" si="0"/>
        <v>-4</v>
      </c>
      <c r="D5" s="93">
        <f t="shared" si="0"/>
        <v>-3</v>
      </c>
      <c r="E5" s="99">
        <f>F5-1</f>
        <v>-2</v>
      </c>
      <c r="F5" s="99">
        <f>G5-1</f>
        <v>-1</v>
      </c>
      <c r="G5" s="100">
        <v>0</v>
      </c>
      <c r="H5" s="101"/>
      <c r="I5" s="102">
        <f>F5+1</f>
        <v>0</v>
      </c>
      <c r="J5" s="102">
        <f t="shared" ref="J5:M6" si="1">I5+1</f>
        <v>1</v>
      </c>
      <c r="K5" s="102">
        <f t="shared" si="1"/>
        <v>2</v>
      </c>
      <c r="L5" s="102">
        <f t="shared" si="1"/>
        <v>3</v>
      </c>
      <c r="M5" s="102">
        <f t="shared" si="1"/>
        <v>4</v>
      </c>
      <c r="N5" s="93">
        <f>F5+1</f>
        <v>0</v>
      </c>
      <c r="O5" s="93">
        <f t="shared" ref="O5:R6" si="2">N5+1</f>
        <v>1</v>
      </c>
      <c r="P5" s="93">
        <f t="shared" si="2"/>
        <v>2</v>
      </c>
      <c r="Q5" s="93">
        <f t="shared" si="2"/>
        <v>3</v>
      </c>
      <c r="R5" s="93">
        <f t="shared" si="2"/>
        <v>4</v>
      </c>
      <c r="S5" s="98" t="s">
        <v>220</v>
      </c>
    </row>
    <row r="6" spans="1:19">
      <c r="A6" s="103" t="s">
        <v>221</v>
      </c>
      <c r="B6" s="104">
        <f t="shared" si="0"/>
        <v>1998</v>
      </c>
      <c r="C6" s="104">
        <f t="shared" si="0"/>
        <v>1999</v>
      </c>
      <c r="D6" s="104">
        <f t="shared" si="0"/>
        <v>2000</v>
      </c>
      <c r="E6" s="104">
        <f>F6-1</f>
        <v>2001</v>
      </c>
      <c r="F6" s="105">
        <f>G6-1</f>
        <v>2002</v>
      </c>
      <c r="G6" s="106">
        <v>2003</v>
      </c>
      <c r="H6" s="102"/>
      <c r="I6" s="102">
        <f>F6+1</f>
        <v>2003</v>
      </c>
      <c r="J6" s="102">
        <f t="shared" si="1"/>
        <v>2004</v>
      </c>
      <c r="K6" s="102">
        <f t="shared" si="1"/>
        <v>2005</v>
      </c>
      <c r="L6" s="102">
        <f t="shared" si="1"/>
        <v>2006</v>
      </c>
      <c r="M6" s="102">
        <f t="shared" si="1"/>
        <v>2007</v>
      </c>
      <c r="N6" s="104">
        <f>F6+1</f>
        <v>2003</v>
      </c>
      <c r="O6" s="104">
        <f t="shared" si="2"/>
        <v>2004</v>
      </c>
      <c r="P6" s="104">
        <f t="shared" si="2"/>
        <v>2005</v>
      </c>
      <c r="Q6" s="104">
        <f t="shared" si="2"/>
        <v>2006</v>
      </c>
      <c r="R6" s="104">
        <f t="shared" si="2"/>
        <v>2007</v>
      </c>
      <c r="S6" s="103" t="s">
        <v>221</v>
      </c>
    </row>
    <row r="7" spans="1:19">
      <c r="A7" s="90"/>
      <c r="B7" s="90"/>
      <c r="C7" s="90"/>
      <c r="D7" s="90"/>
      <c r="E7" s="88"/>
      <c r="F7" s="88"/>
      <c r="H7" s="107"/>
      <c r="I7" s="108"/>
      <c r="J7" s="108">
        <v>0.5</v>
      </c>
      <c r="K7" s="108"/>
      <c r="L7" s="108"/>
      <c r="M7" s="108"/>
      <c r="N7" s="88"/>
      <c r="O7" s="88"/>
      <c r="P7" s="88"/>
      <c r="Q7" s="88"/>
      <c r="R7" s="88"/>
      <c r="S7" s="90"/>
    </row>
    <row r="8" spans="1:19">
      <c r="A8" s="90" t="s">
        <v>174</v>
      </c>
      <c r="B8" s="109">
        <v>0</v>
      </c>
      <c r="C8" s="109">
        <v>0</v>
      </c>
      <c r="D8" s="109">
        <v>0</v>
      </c>
      <c r="E8" s="109">
        <v>1697</v>
      </c>
      <c r="F8" s="109">
        <v>2013</v>
      </c>
      <c r="G8" s="109">
        <v>2694</v>
      </c>
      <c r="H8" s="110" t="s">
        <v>222</v>
      </c>
      <c r="I8" s="111">
        <v>0.1</v>
      </c>
      <c r="J8" s="111">
        <v>0.12</v>
      </c>
      <c r="K8" s="111">
        <v>0.12</v>
      </c>
      <c r="L8" s="111">
        <v>0.12</v>
      </c>
      <c r="M8" s="111">
        <v>0.08</v>
      </c>
      <c r="N8" s="112">
        <f>F8*(1+I8)</f>
        <v>2214.3000000000002</v>
      </c>
      <c r="O8" s="112">
        <f>N8*(1+J8)</f>
        <v>2480.0160000000005</v>
      </c>
      <c r="P8" s="112">
        <f>O8*(1+K8)</f>
        <v>2777.617920000001</v>
      </c>
      <c r="Q8" s="112">
        <f>P8*(1+L8)</f>
        <v>3110.9320704000015</v>
      </c>
      <c r="R8" s="112">
        <f>Q8*(1+M8)</f>
        <v>3359.8066360320017</v>
      </c>
      <c r="S8" s="90" t="s">
        <v>174</v>
      </c>
    </row>
    <row r="9" spans="1:19">
      <c r="A9" s="113" t="s">
        <v>321</v>
      </c>
      <c r="B9" s="114">
        <v>0</v>
      </c>
      <c r="C9" s="114">
        <v>0</v>
      </c>
      <c r="D9" s="114">
        <v>0</v>
      </c>
      <c r="E9" s="114">
        <v>1222</v>
      </c>
      <c r="F9" s="114">
        <v>1437</v>
      </c>
      <c r="G9" s="114">
        <v>1950</v>
      </c>
      <c r="H9" s="110" t="s">
        <v>223</v>
      </c>
      <c r="I9" s="111">
        <v>0.66</v>
      </c>
      <c r="J9" s="111">
        <v>0.67</v>
      </c>
      <c r="K9" s="111">
        <v>0.64</v>
      </c>
      <c r="L9" s="111">
        <v>0.63</v>
      </c>
      <c r="M9" s="111">
        <v>0.63</v>
      </c>
      <c r="N9" s="115">
        <f>-N8*I9</f>
        <v>-1461.4380000000001</v>
      </c>
      <c r="O9" s="115">
        <f>-O8*J9</f>
        <v>-1661.6107200000004</v>
      </c>
      <c r="P9" s="115">
        <f>-P8*K9</f>
        <v>-1777.6754688000008</v>
      </c>
      <c r="Q9" s="115">
        <f>-Q8*L9</f>
        <v>-1959.8872043520009</v>
      </c>
      <c r="R9" s="115">
        <f>-R8*M9</f>
        <v>-2116.6781807001612</v>
      </c>
      <c r="S9" s="113" t="s">
        <v>321</v>
      </c>
    </row>
    <row r="10" spans="1:19">
      <c r="A10" s="90" t="s">
        <v>317</v>
      </c>
      <c r="B10" s="112">
        <f>B8+B9</f>
        <v>0</v>
      </c>
      <c r="C10" s="112">
        <f>C8+C9</f>
        <v>0</v>
      </c>
      <c r="D10" s="112">
        <f>D8+D9</f>
        <v>0</v>
      </c>
      <c r="E10" s="112">
        <f>E8-E9</f>
        <v>475</v>
      </c>
      <c r="F10" s="112">
        <f>F8-F9</f>
        <v>576</v>
      </c>
      <c r="G10" s="112">
        <f>G8-G9</f>
        <v>744</v>
      </c>
      <c r="H10" s="112" t="s">
        <v>106</v>
      </c>
      <c r="I10" s="112" t="s">
        <v>106</v>
      </c>
      <c r="J10" s="112" t="s">
        <v>106</v>
      </c>
      <c r="K10" s="112" t="s">
        <v>106</v>
      </c>
      <c r="L10" s="112" t="s">
        <v>106</v>
      </c>
      <c r="M10" s="112" t="s">
        <v>106</v>
      </c>
      <c r="N10" s="112">
        <f>N8+N9</f>
        <v>752.86200000000008</v>
      </c>
      <c r="O10" s="112">
        <f>O8+O9</f>
        <v>818.40528000000018</v>
      </c>
      <c r="P10" s="112">
        <f>P8+P9</f>
        <v>999.94245120000028</v>
      </c>
      <c r="Q10" s="112">
        <f>Q8+Q9</f>
        <v>1151.0448660480006</v>
      </c>
      <c r="R10" s="112">
        <f>R8+R9</f>
        <v>1243.1284553318405</v>
      </c>
      <c r="S10" s="90" t="s">
        <v>317</v>
      </c>
    </row>
    <row r="11" spans="1:19">
      <c r="A11" s="90" t="s">
        <v>314</v>
      </c>
      <c r="B11" s="109">
        <v>0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10" t="s">
        <v>224</v>
      </c>
      <c r="I11" s="116" t="s">
        <v>106</v>
      </c>
      <c r="J11" s="116" t="s">
        <v>106</v>
      </c>
      <c r="K11" s="116" t="s">
        <v>106</v>
      </c>
      <c r="L11" s="116" t="s">
        <v>106</v>
      </c>
      <c r="M11" s="116" t="s">
        <v>106</v>
      </c>
      <c r="N11" s="112" t="str">
        <f>I11</f>
        <v xml:space="preserve"> </v>
      </c>
      <c r="O11" s="112" t="str">
        <f>J11</f>
        <v xml:space="preserve"> </v>
      </c>
      <c r="P11" s="112" t="str">
        <f>K11</f>
        <v xml:space="preserve"> </v>
      </c>
      <c r="Q11" s="112" t="str">
        <f>L11</f>
        <v xml:space="preserve"> </v>
      </c>
      <c r="R11" s="112" t="str">
        <f>M11</f>
        <v xml:space="preserve"> </v>
      </c>
      <c r="S11" s="90" t="s">
        <v>314</v>
      </c>
    </row>
    <row r="12" spans="1:19">
      <c r="A12" s="90" t="s">
        <v>225</v>
      </c>
      <c r="B12" s="109">
        <v>0</v>
      </c>
      <c r="C12" s="109">
        <v>0</v>
      </c>
      <c r="D12" s="109">
        <v>0</v>
      </c>
      <c r="E12" s="109">
        <v>425</v>
      </c>
      <c r="F12" s="109">
        <v>515</v>
      </c>
      <c r="G12" s="109">
        <v>658</v>
      </c>
      <c r="H12" s="110" t="s">
        <v>226</v>
      </c>
      <c r="I12" s="117">
        <f>G12/G8</f>
        <v>0.24424647364513735</v>
      </c>
      <c r="J12" s="117">
        <v>0.08</v>
      </c>
      <c r="K12" s="117">
        <v>7.1999999999999995E-2</v>
      </c>
      <c r="L12" s="117">
        <v>6.5000000000000002E-2</v>
      </c>
      <c r="M12" s="117">
        <v>0.06</v>
      </c>
      <c r="N12" s="112">
        <f>-N8*I12</f>
        <v>-540.83496659242769</v>
      </c>
      <c r="O12" s="112">
        <f>-O8*J12</f>
        <v>-198.40128000000004</v>
      </c>
      <c r="P12" s="112">
        <f>-P8*K12</f>
        <v>-199.98849024000006</v>
      </c>
      <c r="Q12" s="112">
        <f>-Q8*L12</f>
        <v>-202.21058457600012</v>
      </c>
      <c r="R12" s="112">
        <f>-R8*M12</f>
        <v>-201.58839816192008</v>
      </c>
      <c r="S12" s="90" t="s">
        <v>225</v>
      </c>
    </row>
    <row r="13" spans="1:19">
      <c r="A13" s="90" t="s">
        <v>227</v>
      </c>
      <c r="B13" s="109">
        <v>0</v>
      </c>
      <c r="C13" s="109">
        <v>0</v>
      </c>
      <c r="D13" s="109">
        <v>0</v>
      </c>
      <c r="E13" s="109">
        <v>0</v>
      </c>
      <c r="F13" s="109">
        <v>0</v>
      </c>
      <c r="G13" s="109">
        <v>0</v>
      </c>
      <c r="H13" s="110" t="s">
        <v>226</v>
      </c>
      <c r="I13" s="117">
        <f>-F13/F8</f>
        <v>0</v>
      </c>
      <c r="J13" s="117">
        <v>0</v>
      </c>
      <c r="K13" s="117">
        <v>0</v>
      </c>
      <c r="L13" s="117">
        <v>0</v>
      </c>
      <c r="M13" s="117">
        <v>0</v>
      </c>
      <c r="N13" s="112">
        <f>-N8*I13</f>
        <v>0</v>
      </c>
      <c r="O13" s="112">
        <f>-O8*J13</f>
        <v>0</v>
      </c>
      <c r="P13" s="112">
        <f>-P8*K13</f>
        <v>0</v>
      </c>
      <c r="Q13" s="112">
        <f>-Q8*L13</f>
        <v>0</v>
      </c>
      <c r="R13" s="112">
        <f>-R8*M13</f>
        <v>0</v>
      </c>
      <c r="S13" s="90" t="s">
        <v>227</v>
      </c>
    </row>
    <row r="14" spans="1:19">
      <c r="A14" s="90" t="s">
        <v>228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10" t="s">
        <v>229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2">
        <f>-N54*I14</f>
        <v>0</v>
      </c>
      <c r="O14" s="112">
        <f>-O54*J14</f>
        <v>0</v>
      </c>
      <c r="P14" s="112">
        <f>-P54*K14</f>
        <v>0</v>
      </c>
      <c r="Q14" s="112">
        <f>-Q54*L14</f>
        <v>0</v>
      </c>
      <c r="R14" s="112">
        <f>-R54*M14</f>
        <v>0</v>
      </c>
      <c r="S14" s="90" t="s">
        <v>228</v>
      </c>
    </row>
    <row r="15" spans="1:19">
      <c r="A15" s="90" t="s">
        <v>230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10" t="s">
        <v>226</v>
      </c>
      <c r="I15" s="117">
        <f>-F15/F8</f>
        <v>0</v>
      </c>
      <c r="J15" s="117">
        <v>1.9E-2</v>
      </c>
      <c r="K15" s="117">
        <v>1.9E-2</v>
      </c>
      <c r="L15" s="117">
        <v>1.9E-2</v>
      </c>
      <c r="M15" s="117">
        <v>1.9E-2</v>
      </c>
      <c r="N15" s="112">
        <f>-N8*I15</f>
        <v>0</v>
      </c>
      <c r="O15" s="112">
        <f>-O8*J15</f>
        <v>-47.120304000000012</v>
      </c>
      <c r="P15" s="112">
        <f>-P8*K15</f>
        <v>-52.77474048000002</v>
      </c>
      <c r="Q15" s="112">
        <f>-Q8*L15</f>
        <v>-59.107709337600028</v>
      </c>
      <c r="R15" s="112">
        <f>-R8*M15</f>
        <v>-63.836326084608032</v>
      </c>
      <c r="S15" s="90" t="s">
        <v>230</v>
      </c>
    </row>
    <row r="16" spans="1:19">
      <c r="A16" s="113" t="s">
        <v>231</v>
      </c>
      <c r="B16" s="114">
        <v>0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0" t="s">
        <v>224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9">
        <f>I16</f>
        <v>0</v>
      </c>
      <c r="O16" s="119">
        <f>J16</f>
        <v>0</v>
      </c>
      <c r="P16" s="119">
        <f>K16</f>
        <v>0</v>
      </c>
      <c r="Q16" s="119">
        <f>L16</f>
        <v>0</v>
      </c>
      <c r="R16" s="119">
        <f>M16</f>
        <v>0</v>
      </c>
      <c r="S16" s="113" t="s">
        <v>231</v>
      </c>
    </row>
    <row r="17" spans="1:19">
      <c r="A17" s="90" t="s">
        <v>343</v>
      </c>
      <c r="B17" s="112">
        <f t="shared" ref="B17:G17" si="3">B9+SUM(B11:B16)</f>
        <v>0</v>
      </c>
      <c r="C17" s="112">
        <f t="shared" si="3"/>
        <v>0</v>
      </c>
      <c r="D17" s="112">
        <f t="shared" si="3"/>
        <v>0</v>
      </c>
      <c r="E17" s="112">
        <f t="shared" si="3"/>
        <v>1647</v>
      </c>
      <c r="F17" s="112">
        <f t="shared" si="3"/>
        <v>1952</v>
      </c>
      <c r="G17" s="112">
        <f t="shared" si="3"/>
        <v>2608</v>
      </c>
      <c r="H17" s="112" t="s">
        <v>106</v>
      </c>
      <c r="I17" s="112" t="s">
        <v>106</v>
      </c>
      <c r="J17" s="112" t="s">
        <v>106</v>
      </c>
      <c r="K17" s="112" t="s">
        <v>106</v>
      </c>
      <c r="L17" s="112" t="s">
        <v>106</v>
      </c>
      <c r="M17" s="112" t="s">
        <v>106</v>
      </c>
      <c r="N17" s="112">
        <f>N9+SUM(N11:N16)</f>
        <v>-2002.2729665924278</v>
      </c>
      <c r="O17" s="112">
        <f>O9+SUM(O11:O16)</f>
        <v>-1907.1323040000004</v>
      </c>
      <c r="P17" s="112">
        <f>P9+SUM(P11:P16)</f>
        <v>-2030.4386995200009</v>
      </c>
      <c r="Q17" s="112">
        <f>Q9+SUM(Q11:Q16)</f>
        <v>-2221.2054982656009</v>
      </c>
      <c r="R17" s="112">
        <f>R9+SUM(R11:R16)</f>
        <v>-2382.1029049466893</v>
      </c>
      <c r="S17" s="90" t="s">
        <v>343</v>
      </c>
    </row>
    <row r="18" spans="1:19">
      <c r="A18" s="113" t="s">
        <v>344</v>
      </c>
      <c r="B18" s="120">
        <f>B8+B17</f>
        <v>0</v>
      </c>
      <c r="C18" s="120">
        <f>C8+C17</f>
        <v>0</v>
      </c>
      <c r="D18" s="120">
        <f>D8+D17</f>
        <v>0</v>
      </c>
      <c r="E18" s="120">
        <f>E8-E17</f>
        <v>50</v>
      </c>
      <c r="F18" s="120">
        <f>F8-F17</f>
        <v>61</v>
      </c>
      <c r="G18" s="120">
        <f>G8-G17</f>
        <v>86</v>
      </c>
      <c r="H18" s="120" t="s">
        <v>106</v>
      </c>
      <c r="I18" s="120" t="s">
        <v>106</v>
      </c>
      <c r="J18" s="120" t="s">
        <v>106</v>
      </c>
      <c r="K18" s="120" t="s">
        <v>106</v>
      </c>
      <c r="L18" s="120" t="s">
        <v>106</v>
      </c>
      <c r="M18" s="120" t="s">
        <v>345</v>
      </c>
      <c r="N18" s="120">
        <f>N8+N17</f>
        <v>212.02703340757239</v>
      </c>
      <c r="O18" s="120">
        <f>O8+O17</f>
        <v>572.8836960000001</v>
      </c>
      <c r="P18" s="120">
        <f>P8+P17</f>
        <v>747.17922048000014</v>
      </c>
      <c r="Q18" s="120">
        <f>Q8+Q17</f>
        <v>889.72657213440061</v>
      </c>
      <c r="R18" s="120">
        <f>R8+R17</f>
        <v>977.70373108531248</v>
      </c>
      <c r="S18" s="113" t="s">
        <v>344</v>
      </c>
    </row>
    <row r="19" spans="1:19">
      <c r="A19" s="90" t="s">
        <v>346</v>
      </c>
      <c r="B19" s="109">
        <v>0</v>
      </c>
      <c r="C19" s="109">
        <v>0</v>
      </c>
      <c r="D19" s="109">
        <v>0</v>
      </c>
      <c r="E19" s="109">
        <v>13</v>
      </c>
      <c r="F19" s="109">
        <v>20</v>
      </c>
      <c r="G19" s="109">
        <v>33</v>
      </c>
      <c r="H19" s="110"/>
      <c r="I19" s="121"/>
      <c r="J19" s="121"/>
      <c r="K19" s="121"/>
      <c r="L19" s="121"/>
      <c r="M19" s="121"/>
      <c r="N19" s="122">
        <v>0</v>
      </c>
      <c r="O19" s="122">
        <f>I19</f>
        <v>0</v>
      </c>
      <c r="P19" s="122">
        <f>J19</f>
        <v>0</v>
      </c>
      <c r="Q19" s="122">
        <f>K19</f>
        <v>0</v>
      </c>
      <c r="R19" s="122">
        <f>L19</f>
        <v>0</v>
      </c>
      <c r="S19" s="90" t="s">
        <v>346</v>
      </c>
    </row>
    <row r="20" spans="1:19">
      <c r="A20" s="90" t="s">
        <v>347</v>
      </c>
      <c r="B20" s="109">
        <v>0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10" t="s">
        <v>224</v>
      </c>
      <c r="I20" s="118">
        <v>5</v>
      </c>
      <c r="J20" s="118">
        <v>5</v>
      </c>
      <c r="K20" s="118">
        <v>5</v>
      </c>
      <c r="L20" s="118">
        <v>5</v>
      </c>
      <c r="M20" s="118">
        <v>5</v>
      </c>
      <c r="N20" s="122">
        <f t="shared" ref="N20:R21" si="4">I20</f>
        <v>5</v>
      </c>
      <c r="O20" s="122">
        <f t="shared" si="4"/>
        <v>5</v>
      </c>
      <c r="P20" s="122">
        <f t="shared" si="4"/>
        <v>5</v>
      </c>
      <c r="Q20" s="122">
        <f t="shared" si="4"/>
        <v>5</v>
      </c>
      <c r="R20" s="122">
        <f t="shared" si="4"/>
        <v>5</v>
      </c>
      <c r="S20" s="90" t="s">
        <v>347</v>
      </c>
    </row>
    <row r="21" spans="1:19">
      <c r="A21" s="113" t="s">
        <v>348</v>
      </c>
      <c r="B21" s="114">
        <v>0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0" t="s">
        <v>224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9">
        <f t="shared" si="4"/>
        <v>0</v>
      </c>
      <c r="O21" s="119">
        <f t="shared" si="4"/>
        <v>0</v>
      </c>
      <c r="P21" s="119">
        <f t="shared" si="4"/>
        <v>0</v>
      </c>
      <c r="Q21" s="119">
        <f t="shared" si="4"/>
        <v>0</v>
      </c>
      <c r="R21" s="119">
        <f t="shared" si="4"/>
        <v>0</v>
      </c>
      <c r="S21" s="113" t="s">
        <v>348</v>
      </c>
    </row>
    <row r="22" spans="1:19">
      <c r="A22" s="90" t="s">
        <v>298</v>
      </c>
      <c r="B22" s="112">
        <f>SUM(B18:B21)</f>
        <v>0</v>
      </c>
      <c r="C22" s="112">
        <f>SUM(C18:C21)</f>
        <v>0</v>
      </c>
      <c r="D22" s="112">
        <f>SUM(D18:D21)</f>
        <v>0</v>
      </c>
      <c r="E22" s="112">
        <f>E18-E19+E20-E21</f>
        <v>37</v>
      </c>
      <c r="F22" s="112">
        <f>F18-F19+F20-F21</f>
        <v>41</v>
      </c>
      <c r="G22" s="112">
        <f>G18-G19+G20-G21</f>
        <v>53</v>
      </c>
      <c r="H22" s="112" t="s">
        <v>106</v>
      </c>
      <c r="I22" s="112" t="s">
        <v>106</v>
      </c>
      <c r="J22" s="112" t="s">
        <v>106</v>
      </c>
      <c r="K22" s="112" t="s">
        <v>106</v>
      </c>
      <c r="L22" s="112" t="s">
        <v>345</v>
      </c>
      <c r="M22" s="112" t="s">
        <v>106</v>
      </c>
      <c r="N22" s="112">
        <f>SUM(N18:N21)</f>
        <v>217.02703340757239</v>
      </c>
      <c r="O22" s="112">
        <f>SUM(O18:O21)</f>
        <v>577.8836960000001</v>
      </c>
      <c r="P22" s="112">
        <f>SUM(P18:P21)</f>
        <v>752.17922048000014</v>
      </c>
      <c r="Q22" s="112">
        <f>SUM(Q18:Q21)</f>
        <v>894.72657213440061</v>
      </c>
      <c r="R22" s="112">
        <f>SUM(R18:R21)</f>
        <v>982.70373108531248</v>
      </c>
      <c r="S22" s="90" t="s">
        <v>298</v>
      </c>
    </row>
    <row r="23" spans="1:19">
      <c r="A23" s="113" t="s">
        <v>181</v>
      </c>
      <c r="B23" s="114">
        <v>0</v>
      </c>
      <c r="C23" s="114">
        <v>0</v>
      </c>
      <c r="D23" s="114">
        <v>0</v>
      </c>
      <c r="E23" s="114">
        <v>6</v>
      </c>
      <c r="F23" s="114">
        <v>7</v>
      </c>
      <c r="G23" s="114">
        <v>9</v>
      </c>
      <c r="H23" s="110" t="s">
        <v>349</v>
      </c>
      <c r="I23" s="117">
        <f>-F23/F22</f>
        <v>-0.17073170731707318</v>
      </c>
      <c r="J23" s="117">
        <f>I23</f>
        <v>-0.17073170731707318</v>
      </c>
      <c r="K23" s="117">
        <f>J23</f>
        <v>-0.17073170731707318</v>
      </c>
      <c r="L23" s="117">
        <f>K23</f>
        <v>-0.17073170731707318</v>
      </c>
      <c r="M23" s="117">
        <f>L23</f>
        <v>-0.17073170731707318</v>
      </c>
      <c r="N23" s="120">
        <f>-N22*I23</f>
        <v>37.053395947634314</v>
      </c>
      <c r="O23" s="120">
        <f>-O22*J23</f>
        <v>98.663070048780511</v>
      </c>
      <c r="P23" s="120">
        <f>-P22*K23</f>
        <v>128.42084252097564</v>
      </c>
      <c r="Q23" s="120">
        <f>-Q22*L23</f>
        <v>152.75819524245864</v>
      </c>
      <c r="R23" s="120">
        <f>-R22*M23</f>
        <v>167.77868579505338</v>
      </c>
      <c r="S23" s="113" t="s">
        <v>181</v>
      </c>
    </row>
    <row r="24" spans="1:19">
      <c r="A24" s="90" t="s">
        <v>350</v>
      </c>
      <c r="B24" s="112">
        <f>SUM(B22:B23)</f>
        <v>0</v>
      </c>
      <c r="C24" s="112">
        <f>SUM(C22:C23)</f>
        <v>0</v>
      </c>
      <c r="D24" s="112">
        <f>SUM(D22:D23)</f>
        <v>0</v>
      </c>
      <c r="E24" s="112">
        <f>E22-E23</f>
        <v>31</v>
      </c>
      <c r="F24" s="112">
        <f>F22-F23</f>
        <v>34</v>
      </c>
      <c r="G24" s="112">
        <f>G22-G23</f>
        <v>44</v>
      </c>
      <c r="H24" s="112" t="s">
        <v>106</v>
      </c>
      <c r="I24" s="112" t="s">
        <v>106</v>
      </c>
      <c r="J24" s="112" t="s">
        <v>106</v>
      </c>
      <c r="K24" s="112" t="s">
        <v>106</v>
      </c>
      <c r="L24" s="112" t="s">
        <v>106</v>
      </c>
      <c r="M24" s="112" t="s">
        <v>106</v>
      </c>
      <c r="N24" s="112">
        <f>SUM(N22:N23)</f>
        <v>254.08042935520672</v>
      </c>
      <c r="O24" s="112">
        <f>SUM(O22:O23)</f>
        <v>676.54676604878057</v>
      </c>
      <c r="P24" s="112">
        <f>SUM(P22:P23)</f>
        <v>880.60006300097575</v>
      </c>
      <c r="Q24" s="112">
        <f>SUM(Q22:Q23)</f>
        <v>1047.4847673768593</v>
      </c>
      <c r="R24" s="112">
        <f>SUM(R22:R23)</f>
        <v>1150.4824168803659</v>
      </c>
      <c r="S24" s="90" t="s">
        <v>350</v>
      </c>
    </row>
    <row r="25" spans="1:19">
      <c r="A25" s="90" t="s">
        <v>351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  <c r="H25" s="110"/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2">
        <f t="shared" ref="N25:R26" si="5">I25</f>
        <v>0</v>
      </c>
      <c r="O25" s="122">
        <f t="shared" si="5"/>
        <v>0</v>
      </c>
      <c r="P25" s="122">
        <f t="shared" si="5"/>
        <v>0</v>
      </c>
      <c r="Q25" s="122">
        <f t="shared" si="5"/>
        <v>0</v>
      </c>
      <c r="R25" s="122">
        <f t="shared" si="5"/>
        <v>0</v>
      </c>
      <c r="S25" s="90" t="s">
        <v>351</v>
      </c>
    </row>
    <row r="26" spans="1:19">
      <c r="A26" s="113" t="s">
        <v>352</v>
      </c>
      <c r="B26" s="114">
        <v>0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0"/>
      <c r="I26" s="123">
        <v>0</v>
      </c>
      <c r="J26" s="123">
        <v>0</v>
      </c>
      <c r="K26" s="123">
        <v>0</v>
      </c>
      <c r="L26" s="123">
        <v>0</v>
      </c>
      <c r="M26" s="123">
        <v>0</v>
      </c>
      <c r="N26" s="119">
        <f t="shared" si="5"/>
        <v>0</v>
      </c>
      <c r="O26" s="119">
        <f t="shared" si="5"/>
        <v>0</v>
      </c>
      <c r="P26" s="119">
        <f t="shared" si="5"/>
        <v>0</v>
      </c>
      <c r="Q26" s="119">
        <f t="shared" si="5"/>
        <v>0</v>
      </c>
      <c r="R26" s="119">
        <f t="shared" si="5"/>
        <v>0</v>
      </c>
      <c r="S26" s="113" t="s">
        <v>352</v>
      </c>
    </row>
    <row r="27" spans="1:19">
      <c r="A27" s="90" t="s">
        <v>353</v>
      </c>
      <c r="B27" s="112">
        <f t="shared" ref="B27:G27" si="6">SUM(B24:B26)</f>
        <v>0</v>
      </c>
      <c r="C27" s="112">
        <f t="shared" si="6"/>
        <v>0</v>
      </c>
      <c r="D27" s="112">
        <f t="shared" si="6"/>
        <v>0</v>
      </c>
      <c r="E27" s="112">
        <f t="shared" si="6"/>
        <v>31</v>
      </c>
      <c r="F27" s="112">
        <f t="shared" si="6"/>
        <v>34</v>
      </c>
      <c r="G27" s="112">
        <f t="shared" si="6"/>
        <v>44</v>
      </c>
      <c r="H27" s="112" t="s">
        <v>106</v>
      </c>
      <c r="I27" s="112" t="s">
        <v>106</v>
      </c>
      <c r="J27" s="112" t="s">
        <v>106</v>
      </c>
      <c r="K27" s="112" t="s">
        <v>106</v>
      </c>
      <c r="L27" s="112" t="s">
        <v>106</v>
      </c>
      <c r="M27" s="112" t="s">
        <v>106</v>
      </c>
      <c r="N27" s="112">
        <f>SUM(N24:N26)</f>
        <v>254.08042935520672</v>
      </c>
      <c r="O27" s="112">
        <f>SUM(O24:O26)</f>
        <v>676.54676604878057</v>
      </c>
      <c r="P27" s="112">
        <f>SUM(P24:P26)</f>
        <v>880.60006300097575</v>
      </c>
      <c r="Q27" s="112">
        <f>SUM(Q24:Q26)</f>
        <v>1047.4847673768593</v>
      </c>
      <c r="R27" s="112">
        <f>SUM(R24:R26)</f>
        <v>1150.4824168803659</v>
      </c>
      <c r="S27" s="90" t="s">
        <v>353</v>
      </c>
    </row>
    <row r="28" spans="1:19">
      <c r="A28" s="90" t="s">
        <v>171</v>
      </c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10" t="s">
        <v>354</v>
      </c>
      <c r="I28" s="111">
        <v>0.1</v>
      </c>
      <c r="J28" s="111">
        <v>0.15</v>
      </c>
      <c r="K28" s="111">
        <v>0.2</v>
      </c>
      <c r="L28" s="111">
        <v>0.25</v>
      </c>
      <c r="M28" s="111">
        <v>0.25</v>
      </c>
      <c r="N28" s="112">
        <f>-N27*I28</f>
        <v>-25.408042935520673</v>
      </c>
      <c r="O28" s="112">
        <f>-O27*J28</f>
        <v>-101.48201490731708</v>
      </c>
      <c r="P28" s="112">
        <f>-P27*K28</f>
        <v>-176.12001260019517</v>
      </c>
      <c r="Q28" s="112">
        <f>-Q27*L28</f>
        <v>-261.87119184421482</v>
      </c>
      <c r="R28" s="112">
        <f>-R27*M28</f>
        <v>-287.62060422009148</v>
      </c>
      <c r="S28" s="90" t="s">
        <v>171</v>
      </c>
    </row>
    <row r="29" spans="1:19">
      <c r="A29" s="113" t="s">
        <v>355</v>
      </c>
      <c r="B29" s="114">
        <v>0</v>
      </c>
      <c r="C29" s="114">
        <v>0</v>
      </c>
      <c r="D29" s="114">
        <v>0</v>
      </c>
      <c r="E29" s="114">
        <v>0</v>
      </c>
      <c r="F29" s="114">
        <v>0</v>
      </c>
      <c r="G29" s="114">
        <v>0</v>
      </c>
      <c r="H29" s="110"/>
      <c r="I29" s="124">
        <v>0</v>
      </c>
      <c r="J29" s="124">
        <v>0</v>
      </c>
      <c r="K29" s="124">
        <v>0</v>
      </c>
      <c r="L29" s="124">
        <v>0</v>
      </c>
      <c r="M29" s="124">
        <v>0</v>
      </c>
      <c r="N29" s="119">
        <f>I29</f>
        <v>0</v>
      </c>
      <c r="O29" s="119">
        <f>J29</f>
        <v>0</v>
      </c>
      <c r="P29" s="119">
        <f>K29</f>
        <v>0</v>
      </c>
      <c r="Q29" s="119">
        <f>L29</f>
        <v>0</v>
      </c>
      <c r="R29" s="119">
        <f>M29</f>
        <v>0</v>
      </c>
      <c r="S29" s="113" t="s">
        <v>355</v>
      </c>
    </row>
    <row r="30" spans="1:19">
      <c r="A30" s="90" t="s">
        <v>169</v>
      </c>
      <c r="B30" s="112">
        <f t="shared" ref="B30:G30" si="7">SUM(B27:B29)</f>
        <v>0</v>
      </c>
      <c r="C30" s="112">
        <f t="shared" si="7"/>
        <v>0</v>
      </c>
      <c r="D30" s="112">
        <f t="shared" si="7"/>
        <v>0</v>
      </c>
      <c r="E30" s="112">
        <f t="shared" si="7"/>
        <v>31</v>
      </c>
      <c r="F30" s="112">
        <f t="shared" si="7"/>
        <v>34</v>
      </c>
      <c r="G30" s="112">
        <f t="shared" si="7"/>
        <v>44</v>
      </c>
      <c r="H30" s="112" t="s">
        <v>106</v>
      </c>
      <c r="I30" s="112" t="s">
        <v>106</v>
      </c>
      <c r="J30" s="112" t="s">
        <v>106</v>
      </c>
      <c r="K30" s="112" t="s">
        <v>106</v>
      </c>
      <c r="L30" s="112" t="s">
        <v>106</v>
      </c>
      <c r="M30" s="112" t="s">
        <v>106</v>
      </c>
      <c r="N30" s="112">
        <f>SUM(N27:N29)</f>
        <v>228.67238641968603</v>
      </c>
      <c r="O30" s="112">
        <f>SUM(O27:O29)</f>
        <v>575.06475114146349</v>
      </c>
      <c r="P30" s="112">
        <f>SUM(P27:P29)</f>
        <v>704.48005040078056</v>
      </c>
      <c r="Q30" s="112">
        <f>SUM(Q27:Q29)</f>
        <v>785.61357553264452</v>
      </c>
      <c r="R30" s="112">
        <f>SUM(R27:R29)</f>
        <v>862.86181266027438</v>
      </c>
      <c r="S30" s="90" t="s">
        <v>169</v>
      </c>
    </row>
    <row r="31" spans="1:19">
      <c r="A31" s="90"/>
      <c r="B31" s="90"/>
      <c r="C31" s="90"/>
      <c r="D31" s="125"/>
      <c r="E31" s="125"/>
      <c r="F31" s="125"/>
      <c r="G31" s="125"/>
      <c r="H31" s="126" t="s">
        <v>106</v>
      </c>
      <c r="I31" s="110"/>
      <c r="J31" s="110"/>
      <c r="K31" s="110"/>
      <c r="L31" s="110"/>
      <c r="M31" s="110"/>
      <c r="N31" s="125"/>
      <c r="O31" s="125"/>
      <c r="P31" s="125"/>
      <c r="Q31" s="125"/>
      <c r="R31" s="125"/>
      <c r="S31" s="90"/>
    </row>
    <row r="32" spans="1:19">
      <c r="A32" s="88" t="s">
        <v>356</v>
      </c>
      <c r="B32" s="88"/>
      <c r="C32" s="88"/>
      <c r="D32" s="125"/>
      <c r="E32" s="125"/>
      <c r="F32" s="125"/>
      <c r="G32" s="125"/>
      <c r="H32" s="126" t="s">
        <v>106</v>
      </c>
      <c r="I32" s="110"/>
      <c r="J32" s="110"/>
      <c r="K32" s="110"/>
      <c r="L32" s="110"/>
      <c r="M32" s="110"/>
      <c r="N32" s="125"/>
      <c r="O32" s="125"/>
      <c r="P32" s="125"/>
      <c r="Q32" s="125"/>
      <c r="R32" s="125"/>
      <c r="S32" s="88" t="s">
        <v>356</v>
      </c>
    </row>
    <row r="33" spans="1:21">
      <c r="A33" s="90" t="s">
        <v>357</v>
      </c>
      <c r="B33" s="127">
        <v>0</v>
      </c>
      <c r="C33" s="127">
        <v>0</v>
      </c>
      <c r="D33" s="127">
        <v>0</v>
      </c>
      <c r="E33" s="128">
        <v>0</v>
      </c>
      <c r="F33" s="128">
        <v>0</v>
      </c>
      <c r="G33" s="128">
        <v>0</v>
      </c>
      <c r="H33" s="129"/>
      <c r="I33" s="121"/>
      <c r="J33" s="121"/>
      <c r="K33" s="121"/>
      <c r="L33" s="121"/>
      <c r="M33" s="121"/>
      <c r="N33" s="130"/>
      <c r="O33" s="130"/>
      <c r="P33" s="130"/>
      <c r="Q33" s="130"/>
      <c r="R33" s="130"/>
      <c r="S33" s="90" t="s">
        <v>357</v>
      </c>
    </row>
    <row r="34" spans="1:21">
      <c r="A34" s="90" t="s">
        <v>358</v>
      </c>
      <c r="B34" s="131" t="e">
        <f t="shared" ref="B34:G34" si="8">(B16+B21+B25+B26)/B39</f>
        <v>#DIV/0!</v>
      </c>
      <c r="C34" s="131" t="e">
        <f t="shared" si="8"/>
        <v>#DIV/0!</v>
      </c>
      <c r="D34" s="131" t="e">
        <f t="shared" si="8"/>
        <v>#DIV/0!</v>
      </c>
      <c r="E34" s="132" t="e">
        <f t="shared" si="8"/>
        <v>#DIV/0!</v>
      </c>
      <c r="F34" s="132" t="e">
        <f t="shared" si="8"/>
        <v>#DIV/0!</v>
      </c>
      <c r="G34" s="132" t="e">
        <f t="shared" si="8"/>
        <v>#DIV/0!</v>
      </c>
      <c r="H34" s="133"/>
      <c r="I34" s="134" t="s">
        <v>106</v>
      </c>
      <c r="J34" s="134"/>
      <c r="K34" s="134"/>
      <c r="L34" s="134"/>
      <c r="M34" s="134"/>
      <c r="N34" s="135">
        <f>(N16+N21+N25+N26)/N39</f>
        <v>0</v>
      </c>
      <c r="O34" s="135">
        <f>(O16+O21+O25+O26)/O39</f>
        <v>0</v>
      </c>
      <c r="P34" s="135">
        <f>(P16+P21+P25+P26)/P39</f>
        <v>0</v>
      </c>
      <c r="Q34" s="135">
        <f>(Q16+Q21+Q25+Q26)/Q39</f>
        <v>0</v>
      </c>
      <c r="R34" s="135">
        <f>(R16+R21+R25+R26)/R39</f>
        <v>0</v>
      </c>
      <c r="S34" s="90" t="s">
        <v>358</v>
      </c>
    </row>
    <row r="35" spans="1:21">
      <c r="A35" s="90" t="s">
        <v>359</v>
      </c>
      <c r="B35" s="131" t="e">
        <f t="shared" ref="B35:G35" si="9">B27/B39</f>
        <v>#DIV/0!</v>
      </c>
      <c r="C35" s="131" t="e">
        <f t="shared" si="9"/>
        <v>#DIV/0!</v>
      </c>
      <c r="D35" s="131" t="e">
        <f t="shared" si="9"/>
        <v>#DIV/0!</v>
      </c>
      <c r="E35" s="132" t="e">
        <f t="shared" si="9"/>
        <v>#DIV/0!</v>
      </c>
      <c r="F35" s="132" t="e">
        <f t="shared" si="9"/>
        <v>#DIV/0!</v>
      </c>
      <c r="G35" s="132" t="e">
        <f t="shared" si="9"/>
        <v>#DIV/0!</v>
      </c>
      <c r="H35" s="133"/>
      <c r="I35" s="134" t="s">
        <v>106</v>
      </c>
      <c r="J35" s="134"/>
      <c r="K35" s="134"/>
      <c r="L35" s="134"/>
      <c r="M35" s="134"/>
      <c r="N35" s="135">
        <f>N27/N39</f>
        <v>1.6938695290347114</v>
      </c>
      <c r="O35" s="135">
        <f>O27/O39</f>
        <v>4.510311773658537</v>
      </c>
      <c r="P35" s="135">
        <f>P27/P39</f>
        <v>5.8706670866731718</v>
      </c>
      <c r="Q35" s="135">
        <f>Q27/Q39</f>
        <v>6.9832317825123953</v>
      </c>
      <c r="R35" s="135">
        <f>R27/R39</f>
        <v>7.6698827792024398</v>
      </c>
      <c r="S35" s="90" t="s">
        <v>359</v>
      </c>
    </row>
    <row r="36" spans="1:21">
      <c r="A36" s="90" t="s">
        <v>360</v>
      </c>
      <c r="B36" s="127" t="s">
        <v>106</v>
      </c>
      <c r="C36" s="127" t="s">
        <v>106</v>
      </c>
      <c r="D36" s="127" t="s">
        <v>106</v>
      </c>
      <c r="E36" s="128">
        <v>0</v>
      </c>
      <c r="F36" s="128">
        <v>0</v>
      </c>
      <c r="G36" s="128">
        <v>0</v>
      </c>
      <c r="H36" s="129"/>
      <c r="I36" s="134" t="s">
        <v>345</v>
      </c>
      <c r="J36" s="134"/>
      <c r="K36" s="134"/>
      <c r="L36" s="134"/>
      <c r="M36" s="134"/>
      <c r="N36" s="136" t="s">
        <v>106</v>
      </c>
      <c r="O36" s="136" t="s">
        <v>106</v>
      </c>
      <c r="P36" s="136" t="s">
        <v>106</v>
      </c>
      <c r="Q36" s="136" t="s">
        <v>106</v>
      </c>
      <c r="R36" s="136" t="s">
        <v>106</v>
      </c>
      <c r="S36" s="90" t="s">
        <v>360</v>
      </c>
    </row>
    <row r="37" spans="1:21">
      <c r="A37" s="90" t="s">
        <v>361</v>
      </c>
      <c r="B37" s="131" t="e">
        <f t="shared" ref="B37:G37" si="10">-B28/B39</f>
        <v>#DIV/0!</v>
      </c>
      <c r="C37" s="131" t="e">
        <f t="shared" si="10"/>
        <v>#DIV/0!</v>
      </c>
      <c r="D37" s="131" t="e">
        <f t="shared" si="10"/>
        <v>#DIV/0!</v>
      </c>
      <c r="E37" s="132" t="e">
        <f t="shared" si="10"/>
        <v>#DIV/0!</v>
      </c>
      <c r="F37" s="132" t="e">
        <f t="shared" si="10"/>
        <v>#DIV/0!</v>
      </c>
      <c r="G37" s="132" t="e">
        <f t="shared" si="10"/>
        <v>#DIV/0!</v>
      </c>
      <c r="H37" s="133"/>
      <c r="I37" s="129" t="s">
        <v>106</v>
      </c>
      <c r="J37" s="129"/>
      <c r="K37" s="129"/>
      <c r="L37" s="129"/>
      <c r="M37" s="129"/>
      <c r="N37" s="132">
        <f>N228/N39</f>
        <v>0</v>
      </c>
      <c r="O37" s="132">
        <f>O228/O39</f>
        <v>0</v>
      </c>
      <c r="P37" s="132">
        <f>P228/P39</f>
        <v>0</v>
      </c>
      <c r="Q37" s="132">
        <f>Q228/Q39</f>
        <v>0</v>
      </c>
      <c r="R37" s="132">
        <f>R228/R39</f>
        <v>0</v>
      </c>
      <c r="S37" s="90" t="s">
        <v>361</v>
      </c>
    </row>
    <row r="38" spans="1:21">
      <c r="A38" s="90" t="s">
        <v>362</v>
      </c>
      <c r="B38" s="137" t="e">
        <f t="shared" ref="B38:G38" si="11">B33/B35</f>
        <v>#DIV/0!</v>
      </c>
      <c r="C38" s="137" t="e">
        <f t="shared" si="11"/>
        <v>#DIV/0!</v>
      </c>
      <c r="D38" s="137" t="e">
        <f t="shared" si="11"/>
        <v>#DIV/0!</v>
      </c>
      <c r="E38" s="137" t="e">
        <f t="shared" si="11"/>
        <v>#DIV/0!</v>
      </c>
      <c r="F38" s="137" t="e">
        <f t="shared" si="11"/>
        <v>#DIV/0!</v>
      </c>
      <c r="G38" s="137" t="e">
        <f t="shared" si="11"/>
        <v>#DIV/0!</v>
      </c>
      <c r="H38" s="138"/>
      <c r="I38" s="139" t="s">
        <v>106</v>
      </c>
      <c r="J38" s="139"/>
      <c r="K38" s="139"/>
      <c r="L38" s="139"/>
      <c r="M38" s="139"/>
      <c r="N38" s="137">
        <f>N33/N35</f>
        <v>0</v>
      </c>
      <c r="O38" s="137">
        <f>O33/O35</f>
        <v>0</v>
      </c>
      <c r="P38" s="137">
        <f>P33/P35</f>
        <v>0</v>
      </c>
      <c r="Q38" s="137">
        <f>Q33/Q35</f>
        <v>0</v>
      </c>
      <c r="R38" s="137">
        <f>R33/R35</f>
        <v>0</v>
      </c>
      <c r="S38" s="90" t="s">
        <v>362</v>
      </c>
    </row>
    <row r="39" spans="1:21">
      <c r="A39" s="90" t="s">
        <v>363</v>
      </c>
      <c r="B39" s="140">
        <v>0</v>
      </c>
      <c r="C39" s="140">
        <v>0</v>
      </c>
      <c r="D39" s="140">
        <v>0</v>
      </c>
      <c r="E39" s="140">
        <v>0</v>
      </c>
      <c r="F39" s="140">
        <v>0</v>
      </c>
      <c r="G39" s="140">
        <v>0</v>
      </c>
      <c r="H39" s="141"/>
      <c r="I39" s="142">
        <v>150</v>
      </c>
      <c r="J39" s="142">
        <v>150</v>
      </c>
      <c r="K39" s="142">
        <v>150</v>
      </c>
      <c r="L39" s="142">
        <v>150</v>
      </c>
      <c r="M39" s="142">
        <v>150</v>
      </c>
      <c r="N39" s="143">
        <f>I39</f>
        <v>150</v>
      </c>
      <c r="O39" s="143">
        <f>J39</f>
        <v>150</v>
      </c>
      <c r="P39" s="143">
        <f>K39</f>
        <v>150</v>
      </c>
      <c r="Q39" s="143">
        <f>L39</f>
        <v>150</v>
      </c>
      <c r="R39" s="143">
        <f>M39</f>
        <v>150</v>
      </c>
      <c r="S39" s="90" t="s">
        <v>363</v>
      </c>
    </row>
    <row r="40" spans="1:21">
      <c r="A40" s="90"/>
      <c r="B40" s="90"/>
      <c r="C40" s="90"/>
      <c r="D40" s="90" t="s">
        <v>106</v>
      </c>
      <c r="E40" s="90" t="s">
        <v>106</v>
      </c>
      <c r="F40" s="90" t="s">
        <v>106</v>
      </c>
      <c r="G40" s="90" t="s">
        <v>106</v>
      </c>
      <c r="H40" s="144"/>
      <c r="I40" s="121"/>
      <c r="J40" s="121"/>
      <c r="K40" s="121"/>
      <c r="L40" s="121"/>
      <c r="M40" s="121"/>
      <c r="N40" s="90" t="s">
        <v>106</v>
      </c>
      <c r="O40" s="90" t="s">
        <v>106</v>
      </c>
      <c r="P40" s="145" t="s">
        <v>106</v>
      </c>
      <c r="Q40" s="145" t="s">
        <v>106</v>
      </c>
      <c r="R40" s="145" t="s">
        <v>106</v>
      </c>
      <c r="S40" s="90"/>
    </row>
    <row r="41" spans="1:21">
      <c r="A41" s="88" t="s">
        <v>140</v>
      </c>
      <c r="B41" s="88"/>
      <c r="C41" s="88"/>
      <c r="D41" s="94"/>
      <c r="E41" s="94"/>
      <c r="F41" s="94"/>
      <c r="G41" s="94"/>
      <c r="H41" s="146"/>
      <c r="I41" s="102"/>
      <c r="J41" s="102"/>
      <c r="K41" s="102"/>
      <c r="L41" s="102"/>
      <c r="M41" s="102"/>
      <c r="N41" s="94"/>
      <c r="O41" s="94"/>
      <c r="P41" s="147"/>
      <c r="Q41" s="147"/>
      <c r="R41" s="147"/>
      <c r="S41" s="88" t="s">
        <v>140</v>
      </c>
    </row>
    <row r="42" spans="1:21">
      <c r="B42" s="97" t="s">
        <v>364</v>
      </c>
      <c r="C42" s="97"/>
      <c r="D42" s="97"/>
      <c r="E42" s="97"/>
      <c r="F42" s="97"/>
      <c r="G42" s="97"/>
      <c r="H42" s="95" t="s">
        <v>218</v>
      </c>
      <c r="I42" s="96"/>
      <c r="J42" s="96"/>
      <c r="K42" s="96"/>
      <c r="L42" s="96"/>
      <c r="M42" s="96"/>
      <c r="N42" s="97" t="s">
        <v>219</v>
      </c>
      <c r="O42" s="97"/>
      <c r="P42" s="97"/>
      <c r="Q42" s="97"/>
      <c r="R42" s="97"/>
    </row>
    <row r="43" spans="1:21">
      <c r="A43" s="148" t="str">
        <f t="shared" ref="A43:G43" si="12">A5</f>
        <v>PERIOD</v>
      </c>
      <c r="B43" s="99">
        <f t="shared" si="12"/>
        <v>-5</v>
      </c>
      <c r="C43" s="99">
        <f t="shared" si="12"/>
        <v>-4</v>
      </c>
      <c r="D43" s="99">
        <f t="shared" si="12"/>
        <v>-3</v>
      </c>
      <c r="E43" s="99">
        <f t="shared" si="12"/>
        <v>-2</v>
      </c>
      <c r="F43" s="99">
        <f t="shared" si="12"/>
        <v>-1</v>
      </c>
      <c r="G43" s="99">
        <f t="shared" si="12"/>
        <v>0</v>
      </c>
      <c r="H43" s="149"/>
      <c r="I43" s="150">
        <f t="shared" ref="I43:S44" si="13">I5</f>
        <v>0</v>
      </c>
      <c r="J43" s="150">
        <f t="shared" si="13"/>
        <v>1</v>
      </c>
      <c r="K43" s="150">
        <f t="shared" si="13"/>
        <v>2</v>
      </c>
      <c r="L43" s="150">
        <f t="shared" si="13"/>
        <v>3</v>
      </c>
      <c r="M43" s="150">
        <f t="shared" si="13"/>
        <v>4</v>
      </c>
      <c r="N43" s="99">
        <f t="shared" si="13"/>
        <v>0</v>
      </c>
      <c r="O43" s="99">
        <f t="shared" si="13"/>
        <v>1</v>
      </c>
      <c r="P43" s="99">
        <f t="shared" si="13"/>
        <v>2</v>
      </c>
      <c r="Q43" s="99">
        <f t="shared" si="13"/>
        <v>3</v>
      </c>
      <c r="R43" s="99">
        <f t="shared" si="13"/>
        <v>4</v>
      </c>
      <c r="S43" s="148" t="str">
        <f t="shared" si="13"/>
        <v>PERIOD</v>
      </c>
    </row>
    <row r="44" spans="1:21">
      <c r="A44" s="98" t="s">
        <v>365</v>
      </c>
      <c r="B44" s="104">
        <f t="shared" ref="B44:G44" si="14">B6</f>
        <v>1998</v>
      </c>
      <c r="C44" s="104">
        <f t="shared" si="14"/>
        <v>1999</v>
      </c>
      <c r="D44" s="104">
        <f t="shared" si="14"/>
        <v>2000</v>
      </c>
      <c r="E44" s="104">
        <f t="shared" si="14"/>
        <v>2001</v>
      </c>
      <c r="F44" s="104">
        <f t="shared" si="14"/>
        <v>2002</v>
      </c>
      <c r="G44" s="104">
        <f t="shared" si="14"/>
        <v>2003</v>
      </c>
      <c r="H44" s="101"/>
      <c r="I44" s="102">
        <f t="shared" si="13"/>
        <v>2003</v>
      </c>
      <c r="J44" s="102">
        <f t="shared" si="13"/>
        <v>2004</v>
      </c>
      <c r="K44" s="102">
        <f t="shared" si="13"/>
        <v>2005</v>
      </c>
      <c r="L44" s="102">
        <f t="shared" si="13"/>
        <v>2006</v>
      </c>
      <c r="M44" s="102">
        <f t="shared" si="13"/>
        <v>2007</v>
      </c>
      <c r="N44" s="104">
        <f t="shared" si="13"/>
        <v>2003</v>
      </c>
      <c r="O44" s="104">
        <f t="shared" si="13"/>
        <v>2004</v>
      </c>
      <c r="P44" s="104">
        <f t="shared" si="13"/>
        <v>2005</v>
      </c>
      <c r="Q44" s="104">
        <f t="shared" si="13"/>
        <v>2006</v>
      </c>
      <c r="R44" s="104">
        <f t="shared" si="13"/>
        <v>2007</v>
      </c>
      <c r="S44" s="98" t="s">
        <v>365</v>
      </c>
    </row>
    <row r="45" spans="1:21">
      <c r="A45" s="88" t="s">
        <v>215</v>
      </c>
      <c r="B45" s="88"/>
      <c r="C45" s="88"/>
      <c r="D45" s="88" t="s">
        <v>106</v>
      </c>
      <c r="E45" s="88" t="s">
        <v>106</v>
      </c>
      <c r="F45" s="88" t="s">
        <v>106</v>
      </c>
      <c r="G45" s="88" t="s">
        <v>106</v>
      </c>
      <c r="H45" s="107"/>
      <c r="I45" s="108" t="s">
        <v>106</v>
      </c>
      <c r="J45" s="108"/>
      <c r="K45" s="108"/>
      <c r="L45" s="108"/>
      <c r="M45" s="108"/>
      <c r="N45" s="88" t="s">
        <v>106</v>
      </c>
      <c r="O45" s="88" t="s">
        <v>106</v>
      </c>
      <c r="P45" s="88" t="s">
        <v>106</v>
      </c>
      <c r="Q45" s="88" t="s">
        <v>106</v>
      </c>
      <c r="R45" s="88" t="s">
        <v>106</v>
      </c>
      <c r="S45" s="88" t="s">
        <v>215</v>
      </c>
    </row>
    <row r="46" spans="1:21">
      <c r="A46" s="88" t="s">
        <v>366</v>
      </c>
      <c r="B46" s="88"/>
      <c r="C46" s="88"/>
      <c r="D46" s="112"/>
      <c r="E46" s="112"/>
      <c r="F46" s="112"/>
      <c r="G46" s="112"/>
      <c r="H46" s="144"/>
      <c r="I46" s="121"/>
      <c r="J46" s="121"/>
      <c r="K46" s="121"/>
      <c r="L46" s="121"/>
      <c r="M46" s="121"/>
      <c r="N46" s="112"/>
      <c r="O46" s="112"/>
      <c r="P46" s="112"/>
      <c r="Q46" s="112"/>
      <c r="R46" s="112"/>
      <c r="S46" s="88" t="s">
        <v>366</v>
      </c>
    </row>
    <row r="47" spans="1:21">
      <c r="A47" s="90" t="s">
        <v>367</v>
      </c>
      <c r="B47" s="151">
        <v>0</v>
      </c>
      <c r="C47" s="151">
        <v>0</v>
      </c>
      <c r="D47" s="151">
        <v>0</v>
      </c>
      <c r="E47" s="151">
        <v>58</v>
      </c>
      <c r="F47" s="151">
        <v>48</v>
      </c>
      <c r="G47" s="151">
        <v>41</v>
      </c>
      <c r="H47" s="152" t="s">
        <v>368</v>
      </c>
      <c r="I47" s="111">
        <f>F47/F8</f>
        <v>2.3845007451564829E-2</v>
      </c>
      <c r="J47" s="153">
        <f>I47</f>
        <v>2.3845007451564829E-2</v>
      </c>
      <c r="K47" s="153">
        <f>J47</f>
        <v>2.3845007451564829E-2</v>
      </c>
      <c r="L47" s="153">
        <f>K47</f>
        <v>2.3845007451564829E-2</v>
      </c>
      <c r="M47" s="153">
        <f>L47</f>
        <v>2.3845007451564829E-2</v>
      </c>
      <c r="N47" s="112">
        <f>I47*N8</f>
        <v>52.800000000000004</v>
      </c>
      <c r="O47" s="112">
        <f>J47*O8</f>
        <v>59.13600000000001</v>
      </c>
      <c r="P47" s="112">
        <f>K47*P8</f>
        <v>66.23232000000003</v>
      </c>
      <c r="Q47" s="112">
        <f>L47*Q8</f>
        <v>74.180198400000037</v>
      </c>
      <c r="R47" s="112">
        <f>M47*R8</f>
        <v>80.11461427200004</v>
      </c>
      <c r="S47" s="90" t="s">
        <v>367</v>
      </c>
      <c r="U47" t="s">
        <v>369</v>
      </c>
    </row>
    <row r="48" spans="1:21">
      <c r="A48" s="90" t="s">
        <v>313</v>
      </c>
      <c r="B48" s="122">
        <v>0</v>
      </c>
      <c r="C48" s="122">
        <v>0</v>
      </c>
      <c r="D48" s="122">
        <v>0</v>
      </c>
      <c r="E48" s="122">
        <v>0</v>
      </c>
      <c r="F48" s="122">
        <v>0</v>
      </c>
      <c r="G48" s="122">
        <v>0</v>
      </c>
      <c r="H48" s="110" t="s">
        <v>224</v>
      </c>
      <c r="I48" s="154">
        <v>37.200000000000003</v>
      </c>
      <c r="J48" s="154">
        <v>37.200000000000003</v>
      </c>
      <c r="K48" s="154">
        <v>37.200000000000003</v>
      </c>
      <c r="L48" s="154">
        <v>27.2</v>
      </c>
      <c r="M48" s="154">
        <v>27.2</v>
      </c>
      <c r="N48" s="112">
        <f>I48</f>
        <v>37.200000000000003</v>
      </c>
      <c r="O48" s="112">
        <f>J48</f>
        <v>37.200000000000003</v>
      </c>
      <c r="P48" s="112">
        <f>K48</f>
        <v>37.200000000000003</v>
      </c>
      <c r="Q48" s="112">
        <f>L48</f>
        <v>27.2</v>
      </c>
      <c r="R48" s="112">
        <f>M48</f>
        <v>27.2</v>
      </c>
      <c r="S48" s="90" t="s">
        <v>313</v>
      </c>
    </row>
    <row r="49" spans="1:25">
      <c r="A49" s="90" t="s">
        <v>309</v>
      </c>
      <c r="B49" s="122">
        <v>0</v>
      </c>
      <c r="C49" s="122">
        <v>0</v>
      </c>
      <c r="D49" s="122">
        <v>0</v>
      </c>
      <c r="E49" s="122">
        <v>171</v>
      </c>
      <c r="F49" s="122">
        <v>222</v>
      </c>
      <c r="G49" s="122">
        <v>317</v>
      </c>
      <c r="H49" s="110" t="s">
        <v>370</v>
      </c>
      <c r="I49" s="118">
        <v>50</v>
      </c>
      <c r="J49" s="118">
        <v>52</v>
      </c>
      <c r="K49" s="118">
        <v>54</v>
      </c>
      <c r="L49" s="118">
        <v>56</v>
      </c>
      <c r="M49" s="118">
        <v>58</v>
      </c>
      <c r="N49" s="122">
        <f>I49*(N8/365)</f>
        <v>303.32876712328766</v>
      </c>
      <c r="O49" s="122">
        <f>J49*(O8/365)</f>
        <v>353.31734794520554</v>
      </c>
      <c r="P49" s="122">
        <f>K49*(P8/365)</f>
        <v>410.93525391780838</v>
      </c>
      <c r="Q49" s="122">
        <f>L49*(Q8/365)</f>
        <v>477.29368751342491</v>
      </c>
      <c r="R49" s="122">
        <f>M49*(R8/365)</f>
        <v>533.8870818900167</v>
      </c>
      <c r="S49" s="90" t="s">
        <v>309</v>
      </c>
      <c r="T49" s="155">
        <f>F49</f>
        <v>222</v>
      </c>
      <c r="U49" s="155">
        <f t="shared" ref="U49:Y50" si="15">N49</f>
        <v>303.32876712328766</v>
      </c>
      <c r="V49" s="155">
        <f t="shared" si="15"/>
        <v>353.31734794520554</v>
      </c>
      <c r="W49" s="155">
        <f t="shared" si="15"/>
        <v>410.93525391780838</v>
      </c>
      <c r="X49" s="155">
        <f t="shared" si="15"/>
        <v>477.29368751342491</v>
      </c>
      <c r="Y49" s="155">
        <f t="shared" si="15"/>
        <v>533.8870818900167</v>
      </c>
    </row>
    <row r="50" spans="1:25">
      <c r="A50" s="90" t="s">
        <v>371</v>
      </c>
      <c r="B50" s="122">
        <v>0</v>
      </c>
      <c r="C50" s="122">
        <v>0</v>
      </c>
      <c r="D50" s="122">
        <v>0</v>
      </c>
      <c r="E50" s="122">
        <v>239</v>
      </c>
      <c r="F50" s="122">
        <v>326</v>
      </c>
      <c r="G50" s="122">
        <v>418</v>
      </c>
      <c r="H50" s="110" t="s">
        <v>372</v>
      </c>
      <c r="I50" s="156">
        <v>50</v>
      </c>
      <c r="J50" s="156">
        <v>55</v>
      </c>
      <c r="K50" s="156">
        <v>55</v>
      </c>
      <c r="L50" s="156">
        <v>60</v>
      </c>
      <c r="M50" s="156">
        <v>60</v>
      </c>
      <c r="N50" s="112">
        <f>I50*(-N9/365)</f>
        <v>200.19698630136986</v>
      </c>
      <c r="O50" s="112">
        <f>J50*(-O9/365)</f>
        <v>250.37969753424662</v>
      </c>
      <c r="P50" s="112">
        <f>K50*(-P9/365)</f>
        <v>267.86890625753438</v>
      </c>
      <c r="Q50" s="112">
        <f>L50*(-Q9/365)</f>
        <v>322.1732390715618</v>
      </c>
      <c r="R50" s="112">
        <f>M50*(-R9/365)</f>
        <v>347.94709819728678</v>
      </c>
      <c r="S50" s="90" t="s">
        <v>371</v>
      </c>
      <c r="T50" s="155">
        <f>F50</f>
        <v>326</v>
      </c>
      <c r="U50" s="155">
        <f t="shared" si="15"/>
        <v>200.19698630136986</v>
      </c>
      <c r="V50" s="155">
        <f t="shared" si="15"/>
        <v>250.37969753424662</v>
      </c>
      <c r="W50" s="155">
        <f t="shared" si="15"/>
        <v>267.86890625753438</v>
      </c>
      <c r="X50" s="155">
        <f t="shared" si="15"/>
        <v>322.1732390715618</v>
      </c>
      <c r="Y50" s="155">
        <f t="shared" si="15"/>
        <v>347.94709819728678</v>
      </c>
    </row>
    <row r="51" spans="1:25">
      <c r="A51" s="113" t="s">
        <v>355</v>
      </c>
      <c r="B51" s="119">
        <v>0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110"/>
      <c r="I51" s="154">
        <v>0</v>
      </c>
      <c r="J51" s="154">
        <v>0</v>
      </c>
      <c r="K51" s="154">
        <v>0</v>
      </c>
      <c r="L51" s="154">
        <v>0</v>
      </c>
      <c r="M51" s="154">
        <v>0</v>
      </c>
      <c r="N51" s="119">
        <f>I51</f>
        <v>0</v>
      </c>
      <c r="O51" s="119">
        <f>J51</f>
        <v>0</v>
      </c>
      <c r="P51" s="119">
        <f>K51</f>
        <v>0</v>
      </c>
      <c r="Q51" s="119">
        <f>L51</f>
        <v>0</v>
      </c>
      <c r="R51" s="119">
        <f>M51</f>
        <v>0</v>
      </c>
      <c r="S51" s="113" t="s">
        <v>355</v>
      </c>
    </row>
    <row r="52" spans="1:25">
      <c r="A52" s="90" t="s">
        <v>373</v>
      </c>
      <c r="B52" s="112">
        <f t="shared" ref="B52:G52" si="16">SUM(B47:B51)</f>
        <v>0</v>
      </c>
      <c r="C52" s="112">
        <f t="shared" si="16"/>
        <v>0</v>
      </c>
      <c r="D52" s="112">
        <f t="shared" si="16"/>
        <v>0</v>
      </c>
      <c r="E52" s="112">
        <f t="shared" si="16"/>
        <v>468</v>
      </c>
      <c r="F52" s="112">
        <f t="shared" si="16"/>
        <v>596</v>
      </c>
      <c r="G52" s="112">
        <f t="shared" si="16"/>
        <v>776</v>
      </c>
      <c r="H52" s="126"/>
      <c r="I52" s="110" t="s">
        <v>106</v>
      </c>
      <c r="J52" s="110"/>
      <c r="K52" s="110"/>
      <c r="L52" s="110"/>
      <c r="M52" s="110"/>
      <c r="N52" s="112">
        <f>SUM(N47:N51)</f>
        <v>593.52575342465752</v>
      </c>
      <c r="O52" s="112">
        <f>SUM(O47:O51)</f>
        <v>700.0330454794522</v>
      </c>
      <c r="P52" s="112">
        <f>SUM(P47:P51)</f>
        <v>782.23648017534276</v>
      </c>
      <c r="Q52" s="112">
        <f>SUM(Q47:Q51)</f>
        <v>900.84712498498675</v>
      </c>
      <c r="R52" s="112">
        <f>SUM(R47:R51)</f>
        <v>989.14879435930357</v>
      </c>
      <c r="S52" s="90" t="s">
        <v>373</v>
      </c>
    </row>
    <row r="53" spans="1:25">
      <c r="A53" s="88" t="s">
        <v>374</v>
      </c>
      <c r="B53" s="90"/>
      <c r="C53" s="90"/>
      <c r="D53" s="90"/>
      <c r="E53" s="90"/>
      <c r="F53" s="90"/>
      <c r="G53" s="90"/>
      <c r="H53" s="144"/>
      <c r="I53" s="121"/>
      <c r="J53" s="121"/>
      <c r="K53" s="121"/>
      <c r="L53" s="121"/>
      <c r="M53" s="121"/>
      <c r="N53" s="125" t="s">
        <v>106</v>
      </c>
      <c r="O53" s="125" t="s">
        <v>106</v>
      </c>
      <c r="P53" s="125" t="s">
        <v>106</v>
      </c>
      <c r="Q53" s="125" t="s">
        <v>106</v>
      </c>
      <c r="R53" s="125" t="s">
        <v>106</v>
      </c>
      <c r="S53" s="88" t="s">
        <v>374</v>
      </c>
    </row>
    <row r="54" spans="1:25">
      <c r="A54" s="90" t="s">
        <v>375</v>
      </c>
      <c r="B54" s="109">
        <v>0</v>
      </c>
      <c r="C54" s="109">
        <v>0</v>
      </c>
      <c r="D54" s="109">
        <v>0</v>
      </c>
      <c r="E54" s="109">
        <v>126</v>
      </c>
      <c r="F54" s="109">
        <v>140</v>
      </c>
      <c r="G54" s="109">
        <v>157</v>
      </c>
      <c r="H54" s="110" t="s">
        <v>376</v>
      </c>
      <c r="I54" s="118">
        <v>150</v>
      </c>
      <c r="J54" s="118">
        <v>0</v>
      </c>
      <c r="K54" s="118">
        <v>0</v>
      </c>
      <c r="L54" s="118">
        <v>150</v>
      </c>
      <c r="M54" s="118">
        <v>0</v>
      </c>
      <c r="N54" s="122">
        <f>F54+I54</f>
        <v>290</v>
      </c>
      <c r="O54" s="122">
        <f>N54+J54</f>
        <v>290</v>
      </c>
      <c r="P54" s="122">
        <f>O54+K54</f>
        <v>290</v>
      </c>
      <c r="Q54" s="122">
        <f>P54+L54</f>
        <v>440</v>
      </c>
      <c r="R54" s="122">
        <f>Q54+M54</f>
        <v>440</v>
      </c>
      <c r="S54" s="90" t="s">
        <v>375</v>
      </c>
    </row>
    <row r="55" spans="1:25">
      <c r="A55" s="90" t="s">
        <v>377</v>
      </c>
      <c r="B55" s="114">
        <v>0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0" t="s">
        <v>378</v>
      </c>
      <c r="I55" s="157" t="s">
        <v>106</v>
      </c>
      <c r="J55" s="157"/>
      <c r="K55" s="157"/>
      <c r="L55" s="157"/>
      <c r="M55" s="157"/>
      <c r="N55" s="120">
        <f>F55+N14</f>
        <v>0</v>
      </c>
      <c r="O55" s="120">
        <f>N55+O14</f>
        <v>0</v>
      </c>
      <c r="P55" s="120">
        <f>O55+P14</f>
        <v>0</v>
      </c>
      <c r="Q55" s="120">
        <f>P55+Q14</f>
        <v>0</v>
      </c>
      <c r="R55" s="120">
        <f>Q55+R14</f>
        <v>0</v>
      </c>
      <c r="S55" s="90" t="s">
        <v>377</v>
      </c>
    </row>
    <row r="56" spans="1:25">
      <c r="A56" s="90" t="s">
        <v>379</v>
      </c>
      <c r="B56" s="112">
        <f t="shared" ref="B56:G56" si="17">B54+B55</f>
        <v>0</v>
      </c>
      <c r="C56" s="112">
        <f t="shared" si="17"/>
        <v>0</v>
      </c>
      <c r="D56" s="112">
        <f t="shared" si="17"/>
        <v>0</v>
      </c>
      <c r="E56" s="112">
        <f t="shared" si="17"/>
        <v>126</v>
      </c>
      <c r="F56" s="112">
        <f t="shared" si="17"/>
        <v>140</v>
      </c>
      <c r="G56" s="112">
        <f t="shared" si="17"/>
        <v>157</v>
      </c>
      <c r="H56" s="126"/>
      <c r="I56" s="110"/>
      <c r="J56" s="110"/>
      <c r="K56" s="110"/>
      <c r="L56" s="110"/>
      <c r="M56" s="110"/>
      <c r="N56" s="112">
        <f>N54+N55</f>
        <v>290</v>
      </c>
      <c r="O56" s="112">
        <f>O54+O55</f>
        <v>290</v>
      </c>
      <c r="P56" s="112">
        <f>P54+P55</f>
        <v>290</v>
      </c>
      <c r="Q56" s="112">
        <f>Q54+Q55</f>
        <v>440</v>
      </c>
      <c r="R56" s="112">
        <f>R54+R55</f>
        <v>440</v>
      </c>
      <c r="S56" s="90" t="s">
        <v>379</v>
      </c>
    </row>
    <row r="57" spans="1:25">
      <c r="A57" s="90" t="s">
        <v>297</v>
      </c>
      <c r="B57" s="109">
        <v>0</v>
      </c>
      <c r="C57" s="109">
        <v>0</v>
      </c>
      <c r="D57" s="109">
        <v>0</v>
      </c>
      <c r="E57" s="109">
        <v>0</v>
      </c>
      <c r="F57" s="109">
        <v>0</v>
      </c>
      <c r="G57" s="109">
        <v>0</v>
      </c>
      <c r="H57" s="110"/>
      <c r="I57" s="118">
        <v>12</v>
      </c>
      <c r="J57" s="118">
        <v>12</v>
      </c>
      <c r="K57" s="118">
        <v>12</v>
      </c>
      <c r="L57" s="118">
        <v>12</v>
      </c>
      <c r="M57" s="118">
        <v>12</v>
      </c>
      <c r="N57" s="122">
        <f t="shared" ref="N57:R60" si="18">I57</f>
        <v>12</v>
      </c>
      <c r="O57" s="122">
        <f t="shared" si="18"/>
        <v>12</v>
      </c>
      <c r="P57" s="122">
        <f t="shared" si="18"/>
        <v>12</v>
      </c>
      <c r="Q57" s="122">
        <f t="shared" si="18"/>
        <v>12</v>
      </c>
      <c r="R57" s="122">
        <f t="shared" si="18"/>
        <v>12</v>
      </c>
      <c r="S57" s="90" t="s">
        <v>297</v>
      </c>
    </row>
    <row r="58" spans="1:25">
      <c r="A58" s="90" t="s">
        <v>180</v>
      </c>
      <c r="B58" s="109">
        <v>0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10"/>
      <c r="I58" s="118">
        <v>0.6</v>
      </c>
      <c r="J58" s="118">
        <v>0.6</v>
      </c>
      <c r="K58" s="118">
        <v>0.5</v>
      </c>
      <c r="L58" s="118">
        <v>0.5</v>
      </c>
      <c r="M58" s="118">
        <v>0.4</v>
      </c>
      <c r="N58" s="122">
        <f t="shared" si="18"/>
        <v>0.6</v>
      </c>
      <c r="O58" s="122">
        <f t="shared" si="18"/>
        <v>0.6</v>
      </c>
      <c r="P58" s="122">
        <f t="shared" si="18"/>
        <v>0.5</v>
      </c>
      <c r="Q58" s="122">
        <f t="shared" si="18"/>
        <v>0.5</v>
      </c>
      <c r="R58" s="122">
        <f t="shared" si="18"/>
        <v>0.4</v>
      </c>
      <c r="S58" s="90" t="s">
        <v>180</v>
      </c>
    </row>
    <row r="59" spans="1:25">
      <c r="A59" s="90" t="s">
        <v>380</v>
      </c>
      <c r="B59" s="109">
        <v>0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  <c r="H59" s="110"/>
      <c r="I59" s="123">
        <v>0</v>
      </c>
      <c r="J59" s="123">
        <v>0</v>
      </c>
      <c r="K59" s="123">
        <v>0</v>
      </c>
      <c r="L59" s="123">
        <v>0</v>
      </c>
      <c r="M59" s="123">
        <v>0</v>
      </c>
      <c r="N59" s="122">
        <f t="shared" si="18"/>
        <v>0</v>
      </c>
      <c r="O59" s="122">
        <f t="shared" si="18"/>
        <v>0</v>
      </c>
      <c r="P59" s="122">
        <f t="shared" si="18"/>
        <v>0</v>
      </c>
      <c r="Q59" s="122">
        <f t="shared" si="18"/>
        <v>0</v>
      </c>
      <c r="R59" s="122">
        <f t="shared" si="18"/>
        <v>0</v>
      </c>
      <c r="S59" s="90" t="s">
        <v>380</v>
      </c>
    </row>
    <row r="60" spans="1:25">
      <c r="A60" s="113" t="s">
        <v>381</v>
      </c>
      <c r="B60" s="114">
        <v>0</v>
      </c>
      <c r="C60" s="114">
        <v>0</v>
      </c>
      <c r="D60" s="114">
        <v>0</v>
      </c>
      <c r="E60" s="114">
        <v>0</v>
      </c>
      <c r="F60" s="114">
        <v>0</v>
      </c>
      <c r="G60" s="114">
        <v>0</v>
      </c>
      <c r="H60" s="110"/>
      <c r="I60" s="123">
        <v>0</v>
      </c>
      <c r="J60" s="123">
        <v>0</v>
      </c>
      <c r="K60" s="123">
        <v>0</v>
      </c>
      <c r="L60" s="123">
        <v>0</v>
      </c>
      <c r="M60" s="123">
        <v>0</v>
      </c>
      <c r="N60" s="122">
        <f t="shared" si="18"/>
        <v>0</v>
      </c>
      <c r="O60" s="122">
        <f t="shared" si="18"/>
        <v>0</v>
      </c>
      <c r="P60" s="122">
        <f t="shared" si="18"/>
        <v>0</v>
      </c>
      <c r="Q60" s="122">
        <f t="shared" si="18"/>
        <v>0</v>
      </c>
      <c r="R60" s="122">
        <f t="shared" si="18"/>
        <v>0</v>
      </c>
      <c r="S60" s="113" t="s">
        <v>381</v>
      </c>
    </row>
    <row r="61" spans="1:25">
      <c r="A61" s="158" t="s">
        <v>266</v>
      </c>
      <c r="B61" s="159">
        <f t="shared" ref="B61:G61" si="19">SUM(B56:B60)</f>
        <v>0</v>
      </c>
      <c r="C61" s="159">
        <f t="shared" si="19"/>
        <v>0</v>
      </c>
      <c r="D61" s="159">
        <f t="shared" si="19"/>
        <v>0</v>
      </c>
      <c r="E61" s="159">
        <f t="shared" si="19"/>
        <v>126</v>
      </c>
      <c r="F61" s="159">
        <f t="shared" si="19"/>
        <v>140</v>
      </c>
      <c r="G61" s="159">
        <f t="shared" si="19"/>
        <v>157</v>
      </c>
      <c r="H61" s="126"/>
      <c r="I61" s="110" t="s">
        <v>106</v>
      </c>
      <c r="J61" s="110" t="s">
        <v>106</v>
      </c>
      <c r="K61" s="110" t="s">
        <v>106</v>
      </c>
      <c r="L61" s="110" t="s">
        <v>106</v>
      </c>
      <c r="M61" s="110" t="s">
        <v>106</v>
      </c>
      <c r="N61" s="159">
        <f>SUM(N56:N60)</f>
        <v>302.60000000000002</v>
      </c>
      <c r="O61" s="159">
        <f>SUM(O56:O60)</f>
        <v>302.60000000000002</v>
      </c>
      <c r="P61" s="159">
        <f>SUM(P56:P60)</f>
        <v>302.5</v>
      </c>
      <c r="Q61" s="159">
        <f>SUM(Q56:Q60)</f>
        <v>452.5</v>
      </c>
      <c r="R61" s="159">
        <f>SUM(R56:R60)</f>
        <v>452.4</v>
      </c>
      <c r="S61" s="158" t="s">
        <v>266</v>
      </c>
    </row>
    <row r="62" spans="1:25">
      <c r="A62" s="90" t="s">
        <v>267</v>
      </c>
      <c r="B62" s="112">
        <f t="shared" ref="B62:G62" si="20">B52+B61</f>
        <v>0</v>
      </c>
      <c r="C62" s="112">
        <f t="shared" si="20"/>
        <v>0</v>
      </c>
      <c r="D62" s="112">
        <f t="shared" si="20"/>
        <v>0</v>
      </c>
      <c r="E62" s="112">
        <f t="shared" si="20"/>
        <v>594</v>
      </c>
      <c r="F62" s="112">
        <f t="shared" si="20"/>
        <v>736</v>
      </c>
      <c r="G62" s="112">
        <f t="shared" si="20"/>
        <v>933</v>
      </c>
      <c r="H62" s="126"/>
      <c r="I62" s="110" t="s">
        <v>106</v>
      </c>
      <c r="J62" s="110"/>
      <c r="K62" s="110"/>
      <c r="L62" s="110"/>
      <c r="M62" s="110"/>
      <c r="N62" s="112">
        <f>N52+N61</f>
        <v>896.12575342465755</v>
      </c>
      <c r="O62" s="112">
        <f>O52+O61</f>
        <v>1002.6330454794522</v>
      </c>
      <c r="P62" s="112">
        <f>P52+P61</f>
        <v>1084.7364801753429</v>
      </c>
      <c r="Q62" s="112">
        <f>Q52+Q61</f>
        <v>1353.3471249849867</v>
      </c>
      <c r="R62" s="112">
        <f>R52+R61</f>
        <v>1441.5487943593034</v>
      </c>
      <c r="S62" s="90" t="s">
        <v>267</v>
      </c>
    </row>
    <row r="64" spans="1:25">
      <c r="A64" s="88" t="s">
        <v>323</v>
      </c>
      <c r="B64" s="88"/>
      <c r="C64" s="88"/>
      <c r="D64" s="112" t="s">
        <v>106</v>
      </c>
      <c r="E64" s="112" t="s">
        <v>106</v>
      </c>
      <c r="F64" s="112" t="s">
        <v>106</v>
      </c>
      <c r="G64" s="112" t="s">
        <v>106</v>
      </c>
      <c r="H64" s="144"/>
      <c r="I64" s="121"/>
      <c r="J64" s="121"/>
      <c r="K64" s="121"/>
      <c r="L64" s="121"/>
      <c r="M64" s="121"/>
      <c r="N64" s="112" t="s">
        <v>106</v>
      </c>
      <c r="O64" s="112" t="s">
        <v>106</v>
      </c>
      <c r="P64" s="112" t="s">
        <v>106</v>
      </c>
      <c r="Q64" s="112" t="s">
        <v>106</v>
      </c>
      <c r="R64" s="112" t="s">
        <v>106</v>
      </c>
      <c r="S64" s="88" t="s">
        <v>323</v>
      </c>
    </row>
    <row r="65" spans="1:25">
      <c r="A65" s="88" t="s">
        <v>268</v>
      </c>
      <c r="B65" s="88"/>
      <c r="C65" s="88"/>
      <c r="D65" s="112"/>
      <c r="E65" s="112"/>
      <c r="F65" s="112"/>
      <c r="G65" s="112"/>
      <c r="H65" s="144"/>
      <c r="I65" s="121"/>
      <c r="J65" s="121"/>
      <c r="K65" s="121"/>
      <c r="L65" s="121"/>
      <c r="M65" s="121"/>
      <c r="N65" s="112"/>
      <c r="O65" s="112"/>
      <c r="P65" s="112"/>
      <c r="Q65" s="112"/>
      <c r="R65" s="112"/>
      <c r="S65" s="88" t="s">
        <v>268</v>
      </c>
    </row>
    <row r="66" spans="1:25">
      <c r="A66" s="90" t="s">
        <v>269</v>
      </c>
      <c r="B66" s="109">
        <v>0</v>
      </c>
      <c r="C66" s="109">
        <v>0</v>
      </c>
      <c r="D66" s="109">
        <v>0</v>
      </c>
      <c r="E66" s="109">
        <v>124</v>
      </c>
      <c r="F66" s="109">
        <v>192</v>
      </c>
      <c r="G66" s="109">
        <v>256</v>
      </c>
      <c r="H66" s="110" t="s">
        <v>372</v>
      </c>
      <c r="I66" s="154">
        <v>50</v>
      </c>
      <c r="J66" s="154">
        <v>55</v>
      </c>
      <c r="K66" s="154">
        <v>60</v>
      </c>
      <c r="L66" s="154">
        <v>60</v>
      </c>
      <c r="M66" s="154">
        <v>60</v>
      </c>
      <c r="N66" s="112">
        <f>(-N9/365)*I66</f>
        <v>200.19698630136986</v>
      </c>
      <c r="O66" s="112">
        <f>(-O9/365)*J66</f>
        <v>250.37969753424662</v>
      </c>
      <c r="P66" s="112">
        <f>(-P9/365)*K66</f>
        <v>292.22062500821932</v>
      </c>
      <c r="Q66" s="112">
        <f>(-Q9/365)*L66</f>
        <v>322.1732390715618</v>
      </c>
      <c r="R66" s="112">
        <f>(-R9/365)*M66</f>
        <v>347.94709819728678</v>
      </c>
      <c r="S66" s="90" t="s">
        <v>269</v>
      </c>
      <c r="T66" s="155">
        <f>F66</f>
        <v>192</v>
      </c>
      <c r="U66" s="155">
        <f>N66</f>
        <v>200.19698630136986</v>
      </c>
      <c r="V66" s="155">
        <f>O66</f>
        <v>250.37969753424662</v>
      </c>
      <c r="W66" s="155">
        <f>P66</f>
        <v>292.22062500821932</v>
      </c>
      <c r="X66" s="155">
        <f>Q66</f>
        <v>322.1732390715618</v>
      </c>
      <c r="Y66" s="155">
        <f>R66</f>
        <v>347.94709819728678</v>
      </c>
    </row>
    <row r="67" spans="1:25">
      <c r="A67" s="90" t="s">
        <v>296</v>
      </c>
      <c r="B67" s="109">
        <v>0</v>
      </c>
      <c r="C67" s="109">
        <v>0</v>
      </c>
      <c r="D67" s="109">
        <v>0</v>
      </c>
      <c r="E67" s="109">
        <v>0</v>
      </c>
      <c r="F67" s="109">
        <v>0</v>
      </c>
      <c r="G67" s="109">
        <v>0</v>
      </c>
      <c r="H67" s="110" t="s">
        <v>224</v>
      </c>
      <c r="I67" s="118">
        <v>4</v>
      </c>
      <c r="J67" s="118">
        <v>4</v>
      </c>
      <c r="K67" s="118">
        <v>4</v>
      </c>
      <c r="L67" s="118">
        <v>4</v>
      </c>
      <c r="M67" s="118">
        <v>4</v>
      </c>
      <c r="N67" s="122">
        <f>I67</f>
        <v>4</v>
      </c>
      <c r="O67" s="122">
        <f>J67</f>
        <v>4</v>
      </c>
      <c r="P67" s="122">
        <f>K67</f>
        <v>4</v>
      </c>
      <c r="Q67" s="122">
        <f>L67</f>
        <v>4</v>
      </c>
      <c r="R67" s="122">
        <f>M67</f>
        <v>4</v>
      </c>
      <c r="S67" s="90" t="s">
        <v>296</v>
      </c>
    </row>
    <row r="68" spans="1:25">
      <c r="A68" s="90" t="s">
        <v>308</v>
      </c>
      <c r="B68" s="109">
        <v>0</v>
      </c>
      <c r="C68" s="109">
        <v>0</v>
      </c>
      <c r="D68" s="109">
        <v>0</v>
      </c>
      <c r="E68" s="109">
        <v>0</v>
      </c>
      <c r="F68" s="109">
        <v>0</v>
      </c>
      <c r="G68" s="109">
        <v>0</v>
      </c>
      <c r="H68" s="110" t="s">
        <v>270</v>
      </c>
      <c r="I68" s="111">
        <v>0.4</v>
      </c>
      <c r="J68" s="111">
        <v>0.4</v>
      </c>
      <c r="K68" s="111">
        <v>0.4</v>
      </c>
      <c r="L68" s="111">
        <v>0.4</v>
      </c>
      <c r="M68" s="111">
        <v>0.4</v>
      </c>
      <c r="N68" s="122">
        <f>I68*-N23</f>
        <v>-14.821358379053727</v>
      </c>
      <c r="O68" s="122">
        <f>J68*-O23</f>
        <v>-39.46522801951221</v>
      </c>
      <c r="P68" s="122">
        <f>K68*-P23</f>
        <v>-51.368337008390256</v>
      </c>
      <c r="Q68" s="122">
        <f>L68*-Q23</f>
        <v>-61.103278096983459</v>
      </c>
      <c r="R68" s="122">
        <f>M68*-R23</f>
        <v>-67.111474318021351</v>
      </c>
      <c r="S68" s="90" t="s">
        <v>308</v>
      </c>
      <c r="T68" s="155">
        <f t="shared" ref="T68:Y68" si="21">T49+T50-T66</f>
        <v>356</v>
      </c>
      <c r="U68" s="155">
        <f t="shared" si="21"/>
        <v>303.32876712328766</v>
      </c>
      <c r="V68" s="155">
        <f t="shared" si="21"/>
        <v>353.3173479452056</v>
      </c>
      <c r="W68" s="155">
        <f t="shared" si="21"/>
        <v>386.58353516712344</v>
      </c>
      <c r="X68" s="155">
        <f t="shared" si="21"/>
        <v>477.29368751342491</v>
      </c>
      <c r="Y68" s="155">
        <f t="shared" si="21"/>
        <v>533.8870818900167</v>
      </c>
    </row>
    <row r="69" spans="1:25">
      <c r="A69" s="90" t="s">
        <v>271</v>
      </c>
      <c r="B69" s="109">
        <v>0</v>
      </c>
      <c r="C69" s="109">
        <v>0</v>
      </c>
      <c r="D69" s="109">
        <v>0</v>
      </c>
      <c r="E69" s="160">
        <v>0</v>
      </c>
      <c r="F69" s="160">
        <v>0</v>
      </c>
      <c r="G69" s="160">
        <v>0</v>
      </c>
      <c r="H69" s="110"/>
      <c r="I69" s="118">
        <v>1.5</v>
      </c>
      <c r="J69" s="118">
        <v>1.5</v>
      </c>
      <c r="K69" s="118">
        <v>1.5</v>
      </c>
      <c r="L69" s="118">
        <v>1.5</v>
      </c>
      <c r="M69" s="118">
        <v>1.5</v>
      </c>
      <c r="N69" s="122">
        <f t="shared" ref="N69:R71" si="22">I69</f>
        <v>1.5</v>
      </c>
      <c r="O69" s="122">
        <f t="shared" si="22"/>
        <v>1.5</v>
      </c>
      <c r="P69" s="122">
        <f t="shared" si="22"/>
        <v>1.5</v>
      </c>
      <c r="Q69" s="122">
        <f t="shared" si="22"/>
        <v>1.5</v>
      </c>
      <c r="R69" s="122">
        <f t="shared" si="22"/>
        <v>1.5</v>
      </c>
      <c r="S69" s="90" t="s">
        <v>271</v>
      </c>
    </row>
    <row r="70" spans="1:25">
      <c r="A70" s="90" t="s">
        <v>272</v>
      </c>
      <c r="B70" s="160">
        <v>0</v>
      </c>
      <c r="C70" s="160">
        <v>0</v>
      </c>
      <c r="D70" s="160">
        <v>0</v>
      </c>
      <c r="E70" s="161">
        <v>112</v>
      </c>
      <c r="F70" s="161">
        <v>153</v>
      </c>
      <c r="G70" s="161">
        <v>240</v>
      </c>
      <c r="H70" s="110"/>
      <c r="I70" s="118">
        <v>112</v>
      </c>
      <c r="J70" s="118">
        <v>112</v>
      </c>
      <c r="K70" s="118">
        <v>112</v>
      </c>
      <c r="L70" s="118">
        <v>112</v>
      </c>
      <c r="M70" s="118">
        <v>112</v>
      </c>
      <c r="N70" s="122">
        <f t="shared" si="22"/>
        <v>112</v>
      </c>
      <c r="O70" s="122">
        <f t="shared" si="22"/>
        <v>112</v>
      </c>
      <c r="P70" s="122">
        <f t="shared" si="22"/>
        <v>112</v>
      </c>
      <c r="Q70" s="122">
        <f t="shared" si="22"/>
        <v>112</v>
      </c>
      <c r="R70" s="122">
        <f t="shared" si="22"/>
        <v>112</v>
      </c>
      <c r="S70" s="90" t="s">
        <v>272</v>
      </c>
    </row>
    <row r="71" spans="1:25">
      <c r="A71" s="113" t="s">
        <v>355</v>
      </c>
      <c r="B71" s="114">
        <v>0</v>
      </c>
      <c r="C71" s="114">
        <v>0</v>
      </c>
      <c r="D71" s="114">
        <v>0</v>
      </c>
      <c r="E71" s="114">
        <v>24</v>
      </c>
      <c r="F71" s="114">
        <v>30</v>
      </c>
      <c r="G71" s="114">
        <v>39</v>
      </c>
      <c r="H71" s="110"/>
      <c r="I71" s="118">
        <v>8.6</v>
      </c>
      <c r="J71" s="118">
        <v>8.6</v>
      </c>
      <c r="K71" s="118">
        <v>8.6</v>
      </c>
      <c r="L71" s="118">
        <v>8.6</v>
      </c>
      <c r="M71" s="118">
        <v>8.6</v>
      </c>
      <c r="N71" s="122">
        <f t="shared" si="22"/>
        <v>8.6</v>
      </c>
      <c r="O71" s="122">
        <f t="shared" si="22"/>
        <v>8.6</v>
      </c>
      <c r="P71" s="122">
        <f t="shared" si="22"/>
        <v>8.6</v>
      </c>
      <c r="Q71" s="122">
        <f t="shared" si="22"/>
        <v>8.6</v>
      </c>
      <c r="R71" s="122">
        <f t="shared" si="22"/>
        <v>8.6</v>
      </c>
      <c r="S71" s="113" t="s">
        <v>355</v>
      </c>
    </row>
    <row r="72" spans="1:25">
      <c r="A72" s="90" t="s">
        <v>263</v>
      </c>
      <c r="B72" s="112">
        <f t="shared" ref="B72:G72" si="23">SUM(B66:B71)</f>
        <v>0</v>
      </c>
      <c r="C72" s="112">
        <f t="shared" si="23"/>
        <v>0</v>
      </c>
      <c r="D72" s="112">
        <f t="shared" si="23"/>
        <v>0</v>
      </c>
      <c r="E72" s="112">
        <f t="shared" si="23"/>
        <v>260</v>
      </c>
      <c r="F72" s="112">
        <f t="shared" si="23"/>
        <v>375</v>
      </c>
      <c r="G72" s="112">
        <f t="shared" si="23"/>
        <v>535</v>
      </c>
      <c r="H72" s="126"/>
      <c r="I72" s="121" t="s">
        <v>106</v>
      </c>
      <c r="J72" s="121"/>
      <c r="K72" s="121"/>
      <c r="L72" s="121"/>
      <c r="M72" s="121"/>
      <c r="N72" s="112">
        <f>SUM(N66:N71)</f>
        <v>311.47562792231616</v>
      </c>
      <c r="O72" s="112">
        <f>SUM(O66:O71)</f>
        <v>337.0144695147344</v>
      </c>
      <c r="P72" s="112">
        <f>SUM(P66:P71)</f>
        <v>366.95228799982908</v>
      </c>
      <c r="Q72" s="112">
        <f>SUM(Q66:Q71)</f>
        <v>387.16996097457837</v>
      </c>
      <c r="R72" s="112">
        <f>SUM(R66:R71)</f>
        <v>406.93562387926545</v>
      </c>
      <c r="S72" s="90" t="s">
        <v>263</v>
      </c>
    </row>
    <row r="73" spans="1:25">
      <c r="A73" s="88" t="s">
        <v>273</v>
      </c>
      <c r="B73" s="112"/>
      <c r="C73" s="112"/>
      <c r="D73" s="112"/>
      <c r="E73" s="112"/>
      <c r="F73" s="112"/>
      <c r="G73" s="112"/>
      <c r="H73" s="144"/>
      <c r="I73" s="121"/>
      <c r="J73" s="121"/>
      <c r="K73" s="121"/>
      <c r="L73" s="121"/>
      <c r="M73" s="121"/>
      <c r="N73" s="112"/>
      <c r="O73" s="112"/>
      <c r="P73" s="112"/>
      <c r="Q73" s="112"/>
      <c r="R73" s="112"/>
      <c r="S73" s="88" t="s">
        <v>273</v>
      </c>
    </row>
    <row r="74" spans="1:25">
      <c r="A74" s="90" t="s">
        <v>296</v>
      </c>
      <c r="B74" s="109">
        <v>0</v>
      </c>
      <c r="C74" s="109">
        <v>0</v>
      </c>
      <c r="D74" s="109">
        <v>0</v>
      </c>
      <c r="E74" s="109">
        <v>0</v>
      </c>
      <c r="F74" s="109">
        <v>0</v>
      </c>
      <c r="G74" s="109">
        <v>0</v>
      </c>
      <c r="H74" s="110" t="s">
        <v>224</v>
      </c>
      <c r="I74" s="118">
        <v>30.2</v>
      </c>
      <c r="J74" s="118">
        <v>30.2</v>
      </c>
      <c r="K74" s="118">
        <v>30.2</v>
      </c>
      <c r="L74" s="118">
        <v>30.2</v>
      </c>
      <c r="M74" s="118">
        <v>30.2</v>
      </c>
      <c r="N74" s="122">
        <f t="shared" ref="N74:R78" si="24">I74</f>
        <v>30.2</v>
      </c>
      <c r="O74" s="122">
        <f t="shared" si="24"/>
        <v>30.2</v>
      </c>
      <c r="P74" s="122">
        <f t="shared" si="24"/>
        <v>30.2</v>
      </c>
      <c r="Q74" s="122">
        <f t="shared" si="24"/>
        <v>30.2</v>
      </c>
      <c r="R74" s="122">
        <f t="shared" si="24"/>
        <v>30.2</v>
      </c>
      <c r="S74" s="90" t="s">
        <v>296</v>
      </c>
    </row>
    <row r="75" spans="1:25">
      <c r="A75" s="90" t="s">
        <v>179</v>
      </c>
      <c r="B75" s="109">
        <v>0</v>
      </c>
      <c r="C75" s="109">
        <v>0</v>
      </c>
      <c r="D75" s="109">
        <v>0</v>
      </c>
      <c r="E75" s="109">
        <v>0</v>
      </c>
      <c r="F75" s="109">
        <v>0</v>
      </c>
      <c r="G75" s="109">
        <v>0</v>
      </c>
      <c r="H75" s="110" t="s">
        <v>224</v>
      </c>
      <c r="I75" s="118">
        <v>15.4</v>
      </c>
      <c r="J75" s="118">
        <v>15.4</v>
      </c>
      <c r="K75" s="118">
        <v>15.4</v>
      </c>
      <c r="L75" s="118">
        <v>15.4</v>
      </c>
      <c r="M75" s="118">
        <v>15.4</v>
      </c>
      <c r="N75" s="122">
        <f t="shared" si="24"/>
        <v>15.4</v>
      </c>
      <c r="O75" s="122">
        <f t="shared" si="24"/>
        <v>15.4</v>
      </c>
      <c r="P75" s="122">
        <f t="shared" si="24"/>
        <v>15.4</v>
      </c>
      <c r="Q75" s="122">
        <f t="shared" si="24"/>
        <v>15.4</v>
      </c>
      <c r="R75" s="122">
        <f t="shared" si="24"/>
        <v>15.4</v>
      </c>
      <c r="S75" s="90" t="s">
        <v>179</v>
      </c>
    </row>
    <row r="76" spans="1:25">
      <c r="A76" s="90" t="s">
        <v>274</v>
      </c>
      <c r="B76" s="109">
        <v>0</v>
      </c>
      <c r="C76" s="109">
        <v>0</v>
      </c>
      <c r="D76" s="109">
        <v>0</v>
      </c>
      <c r="E76" s="109">
        <v>0</v>
      </c>
      <c r="F76" s="109">
        <v>0</v>
      </c>
      <c r="G76" s="109">
        <v>0</v>
      </c>
      <c r="H76" s="110"/>
      <c r="I76" s="118">
        <v>1</v>
      </c>
      <c r="J76" s="118">
        <v>1</v>
      </c>
      <c r="K76" s="118">
        <v>1</v>
      </c>
      <c r="L76" s="118">
        <v>1</v>
      </c>
      <c r="M76" s="118">
        <v>1</v>
      </c>
      <c r="N76" s="122">
        <f t="shared" si="24"/>
        <v>1</v>
      </c>
      <c r="O76" s="122">
        <f t="shared" si="24"/>
        <v>1</v>
      </c>
      <c r="P76" s="122">
        <f t="shared" si="24"/>
        <v>1</v>
      </c>
      <c r="Q76" s="122">
        <f t="shared" si="24"/>
        <v>1</v>
      </c>
      <c r="R76" s="122">
        <f t="shared" si="24"/>
        <v>1</v>
      </c>
      <c r="S76" s="90" t="s">
        <v>274</v>
      </c>
    </row>
    <row r="77" spans="1:25">
      <c r="A77" s="90" t="s">
        <v>275</v>
      </c>
      <c r="B77" s="160">
        <v>0</v>
      </c>
      <c r="C77" s="160">
        <v>0</v>
      </c>
      <c r="D77" s="160">
        <v>0</v>
      </c>
      <c r="E77" s="160">
        <v>64</v>
      </c>
      <c r="F77" s="160">
        <v>57</v>
      </c>
      <c r="G77" s="160">
        <v>50</v>
      </c>
      <c r="H77" s="110"/>
      <c r="I77" s="118">
        <v>413</v>
      </c>
      <c r="J77" s="118">
        <v>413</v>
      </c>
      <c r="K77" s="118">
        <v>413</v>
      </c>
      <c r="L77" s="118">
        <v>413</v>
      </c>
      <c r="M77" s="118">
        <v>413</v>
      </c>
      <c r="N77" s="122">
        <f t="shared" si="24"/>
        <v>413</v>
      </c>
      <c r="O77" s="122">
        <f t="shared" si="24"/>
        <v>413</v>
      </c>
      <c r="P77" s="122">
        <f t="shared" si="24"/>
        <v>413</v>
      </c>
      <c r="Q77" s="122">
        <f t="shared" si="24"/>
        <v>413</v>
      </c>
      <c r="R77" s="122">
        <f t="shared" si="24"/>
        <v>413</v>
      </c>
      <c r="S77" s="90" t="s">
        <v>275</v>
      </c>
    </row>
    <row r="78" spans="1:25">
      <c r="A78" s="113" t="s">
        <v>355</v>
      </c>
      <c r="B78" s="114">
        <v>0</v>
      </c>
      <c r="C78" s="114">
        <v>0</v>
      </c>
      <c r="D78" s="114">
        <v>0</v>
      </c>
      <c r="E78" s="114">
        <v>0</v>
      </c>
      <c r="F78" s="114">
        <v>0</v>
      </c>
      <c r="G78" s="114">
        <v>0</v>
      </c>
      <c r="H78" s="110" t="s">
        <v>224</v>
      </c>
      <c r="I78" s="118">
        <v>0</v>
      </c>
      <c r="J78" s="118">
        <v>0</v>
      </c>
      <c r="K78" s="118">
        <v>0</v>
      </c>
      <c r="L78" s="118">
        <v>0</v>
      </c>
      <c r="M78" s="118">
        <v>0</v>
      </c>
      <c r="N78" s="122">
        <f t="shared" si="24"/>
        <v>0</v>
      </c>
      <c r="O78" s="122">
        <f t="shared" si="24"/>
        <v>0</v>
      </c>
      <c r="P78" s="122">
        <f t="shared" si="24"/>
        <v>0</v>
      </c>
      <c r="Q78" s="122">
        <f t="shared" si="24"/>
        <v>0</v>
      </c>
      <c r="R78" s="122">
        <f t="shared" si="24"/>
        <v>0</v>
      </c>
      <c r="S78" s="113" t="s">
        <v>355</v>
      </c>
    </row>
    <row r="79" spans="1:25">
      <c r="A79" s="158" t="s">
        <v>276</v>
      </c>
      <c r="B79" s="159">
        <f t="shared" ref="B79:G79" si="25">SUM(B74:B78)</f>
        <v>0</v>
      </c>
      <c r="C79" s="159">
        <f t="shared" si="25"/>
        <v>0</v>
      </c>
      <c r="D79" s="159">
        <f t="shared" si="25"/>
        <v>0</v>
      </c>
      <c r="E79" s="159">
        <f t="shared" si="25"/>
        <v>64</v>
      </c>
      <c r="F79" s="159">
        <f t="shared" si="25"/>
        <v>57</v>
      </c>
      <c r="G79" s="159">
        <f t="shared" si="25"/>
        <v>50</v>
      </c>
      <c r="H79" s="126"/>
      <c r="I79" s="121"/>
      <c r="J79" s="121"/>
      <c r="K79" s="121"/>
      <c r="L79" s="121"/>
      <c r="M79" s="121"/>
      <c r="N79" s="159">
        <f>SUM(N74:N78)</f>
        <v>459.6</v>
      </c>
      <c r="O79" s="159">
        <f>SUM(O74:O78)</f>
        <v>459.6</v>
      </c>
      <c r="P79" s="159">
        <f>SUM(P74:P78)</f>
        <v>459.6</v>
      </c>
      <c r="Q79" s="159">
        <f>SUM(Q74:Q78)</f>
        <v>459.6</v>
      </c>
      <c r="R79" s="159">
        <f>SUM(R74:R78)</f>
        <v>459.6</v>
      </c>
      <c r="S79" s="158" t="s">
        <v>276</v>
      </c>
    </row>
    <row r="80" spans="1:25">
      <c r="A80" s="113" t="s">
        <v>261</v>
      </c>
      <c r="B80" s="120">
        <f t="shared" ref="B80:G80" si="26">B72+B79</f>
        <v>0</v>
      </c>
      <c r="C80" s="120">
        <f t="shared" si="26"/>
        <v>0</v>
      </c>
      <c r="D80" s="120">
        <f t="shared" si="26"/>
        <v>0</v>
      </c>
      <c r="E80" s="120">
        <f t="shared" si="26"/>
        <v>324</v>
      </c>
      <c r="F80" s="120">
        <f t="shared" si="26"/>
        <v>432</v>
      </c>
      <c r="G80" s="120">
        <f t="shared" si="26"/>
        <v>585</v>
      </c>
      <c r="H80" s="126"/>
      <c r="I80" s="121" t="s">
        <v>106</v>
      </c>
      <c r="J80" s="121"/>
      <c r="K80" s="121"/>
      <c r="L80" s="121"/>
      <c r="M80" s="121"/>
      <c r="N80" s="120">
        <f>N72+N79</f>
        <v>771.07562792231624</v>
      </c>
      <c r="O80" s="120">
        <f>O72+O79</f>
        <v>796.61446951473442</v>
      </c>
      <c r="P80" s="120">
        <f>P72+P79</f>
        <v>826.5522879998291</v>
      </c>
      <c r="Q80" s="120">
        <f>Q72+Q79</f>
        <v>846.76996097457845</v>
      </c>
      <c r="R80" s="120">
        <f>R72+R79</f>
        <v>866.53562387926547</v>
      </c>
      <c r="S80" s="113" t="s">
        <v>261</v>
      </c>
    </row>
    <row r="81" spans="1:19">
      <c r="A81" s="88" t="s">
        <v>277</v>
      </c>
      <c r="B81" s="112"/>
      <c r="C81" s="112"/>
      <c r="D81" s="112"/>
      <c r="E81" s="112"/>
      <c r="F81" s="112"/>
      <c r="G81" s="112"/>
      <c r="H81" s="126"/>
      <c r="I81" s="121" t="s">
        <v>106</v>
      </c>
      <c r="J81" s="121"/>
      <c r="K81" s="121"/>
      <c r="L81" s="121"/>
      <c r="M81" s="121"/>
      <c r="N81" s="112"/>
      <c r="O81" s="112"/>
      <c r="P81" s="112"/>
      <c r="Q81" s="112"/>
      <c r="R81" s="112"/>
      <c r="S81" s="88" t="s">
        <v>277</v>
      </c>
    </row>
    <row r="82" spans="1:19">
      <c r="A82" s="90" t="s">
        <v>260</v>
      </c>
      <c r="B82" s="109">
        <v>0</v>
      </c>
      <c r="C82" s="109">
        <v>0</v>
      </c>
      <c r="D82" s="109">
        <v>0</v>
      </c>
      <c r="E82" s="109">
        <v>0</v>
      </c>
      <c r="F82" s="109">
        <v>0</v>
      </c>
      <c r="G82" s="109">
        <v>0</v>
      </c>
      <c r="H82" s="110"/>
      <c r="I82" s="118">
        <v>0</v>
      </c>
      <c r="J82" s="118">
        <v>0</v>
      </c>
      <c r="K82" s="118">
        <v>0</v>
      </c>
      <c r="L82" s="118">
        <v>0</v>
      </c>
      <c r="M82" s="118">
        <v>0</v>
      </c>
      <c r="N82" s="122">
        <f t="shared" ref="N82:R85" si="27">I82</f>
        <v>0</v>
      </c>
      <c r="O82" s="122">
        <f t="shared" si="27"/>
        <v>0</v>
      </c>
      <c r="P82" s="122">
        <f t="shared" si="27"/>
        <v>0</v>
      </c>
      <c r="Q82" s="122">
        <f t="shared" si="27"/>
        <v>0</v>
      </c>
      <c r="R82" s="122">
        <f t="shared" si="27"/>
        <v>0</v>
      </c>
      <c r="S82" s="90" t="s">
        <v>260</v>
      </c>
    </row>
    <row r="83" spans="1:19">
      <c r="A83" s="90" t="s">
        <v>209</v>
      </c>
      <c r="B83" s="109">
        <v>0</v>
      </c>
      <c r="C83" s="109">
        <v>0</v>
      </c>
      <c r="D83" s="109">
        <v>0</v>
      </c>
      <c r="E83" s="109">
        <v>0</v>
      </c>
      <c r="F83" s="109">
        <v>0</v>
      </c>
      <c r="G83" s="109">
        <v>0</v>
      </c>
      <c r="H83" s="110"/>
      <c r="I83" s="118">
        <v>120</v>
      </c>
      <c r="J83" s="118">
        <v>120</v>
      </c>
      <c r="K83" s="118">
        <v>120</v>
      </c>
      <c r="L83" s="118">
        <v>120</v>
      </c>
      <c r="M83" s="118">
        <v>120</v>
      </c>
      <c r="N83" s="122">
        <f t="shared" si="27"/>
        <v>120</v>
      </c>
      <c r="O83" s="122">
        <f t="shared" si="27"/>
        <v>120</v>
      </c>
      <c r="P83" s="122">
        <f t="shared" si="27"/>
        <v>120</v>
      </c>
      <c r="Q83" s="122">
        <f t="shared" si="27"/>
        <v>120</v>
      </c>
      <c r="R83" s="122">
        <f t="shared" si="27"/>
        <v>120</v>
      </c>
      <c r="S83" s="90" t="s">
        <v>209</v>
      </c>
    </row>
    <row r="84" spans="1:19">
      <c r="A84" s="90" t="s">
        <v>278</v>
      </c>
      <c r="B84" s="109">
        <v>0</v>
      </c>
      <c r="C84" s="109">
        <v>0</v>
      </c>
      <c r="D84" s="109">
        <v>0</v>
      </c>
      <c r="E84" s="109">
        <v>0</v>
      </c>
      <c r="F84" s="109">
        <v>0</v>
      </c>
      <c r="G84" s="109">
        <v>0</v>
      </c>
      <c r="H84" s="110" t="s">
        <v>224</v>
      </c>
      <c r="I84" s="118">
        <v>32.9</v>
      </c>
      <c r="J84" s="118">
        <v>32.9</v>
      </c>
      <c r="K84" s="118">
        <v>32.9</v>
      </c>
      <c r="L84" s="118">
        <v>32.9</v>
      </c>
      <c r="M84" s="118">
        <v>32.9</v>
      </c>
      <c r="N84" s="122">
        <f t="shared" si="27"/>
        <v>32.9</v>
      </c>
      <c r="O84" s="122">
        <f t="shared" si="27"/>
        <v>32.9</v>
      </c>
      <c r="P84" s="122">
        <f t="shared" si="27"/>
        <v>32.9</v>
      </c>
      <c r="Q84" s="122">
        <f t="shared" si="27"/>
        <v>32.9</v>
      </c>
      <c r="R84" s="122">
        <f t="shared" si="27"/>
        <v>32.9</v>
      </c>
      <c r="S84" s="90" t="s">
        <v>278</v>
      </c>
    </row>
    <row r="85" spans="1:19">
      <c r="A85" s="90" t="s">
        <v>352</v>
      </c>
      <c r="B85" s="160">
        <v>0</v>
      </c>
      <c r="C85" s="160">
        <v>0</v>
      </c>
      <c r="D85" s="160">
        <v>0</v>
      </c>
      <c r="E85" s="109">
        <v>0</v>
      </c>
      <c r="F85" s="109">
        <v>0</v>
      </c>
      <c r="G85" s="109">
        <v>0</v>
      </c>
      <c r="H85" s="110">
        <v>0</v>
      </c>
      <c r="I85" s="118">
        <f>95.2-11.7</f>
        <v>83.5</v>
      </c>
      <c r="J85" s="118">
        <f>I85</f>
        <v>83.5</v>
      </c>
      <c r="K85" s="118">
        <f>J85</f>
        <v>83.5</v>
      </c>
      <c r="L85" s="118">
        <f>K85</f>
        <v>83.5</v>
      </c>
      <c r="M85" s="118">
        <f>L85</f>
        <v>83.5</v>
      </c>
      <c r="N85" s="122">
        <f t="shared" si="27"/>
        <v>83.5</v>
      </c>
      <c r="O85" s="122">
        <f t="shared" si="27"/>
        <v>83.5</v>
      </c>
      <c r="P85" s="122">
        <f t="shared" si="27"/>
        <v>83.5</v>
      </c>
      <c r="Q85" s="122">
        <f t="shared" si="27"/>
        <v>83.5</v>
      </c>
      <c r="R85" s="122">
        <f t="shared" si="27"/>
        <v>83.5</v>
      </c>
      <c r="S85" s="90" t="s">
        <v>352</v>
      </c>
    </row>
    <row r="86" spans="1:19">
      <c r="A86" s="113" t="s">
        <v>208</v>
      </c>
      <c r="B86" s="114">
        <v>0</v>
      </c>
      <c r="C86" s="114">
        <v>0</v>
      </c>
      <c r="D86" s="114">
        <v>0</v>
      </c>
      <c r="E86" s="160">
        <v>270</v>
      </c>
      <c r="F86" s="160">
        <v>304</v>
      </c>
      <c r="G86" s="160">
        <v>348</v>
      </c>
      <c r="H86" s="110" t="s">
        <v>283</v>
      </c>
      <c r="I86" s="157"/>
      <c r="J86" s="157"/>
      <c r="K86" s="157"/>
      <c r="L86" s="157"/>
      <c r="M86" s="157"/>
      <c r="N86" s="120">
        <f>F86+N30</f>
        <v>532.67238641968606</v>
      </c>
      <c r="O86" s="120">
        <f>N86+O30</f>
        <v>1107.7371375611497</v>
      </c>
      <c r="P86" s="120">
        <f>O86+P30</f>
        <v>1812.2171879619302</v>
      </c>
      <c r="Q86" s="120">
        <f>P86+Q30</f>
        <v>2597.830763494575</v>
      </c>
      <c r="R86" s="120">
        <f>Q86+R30</f>
        <v>3460.6925761548491</v>
      </c>
      <c r="S86" s="113" t="s">
        <v>208</v>
      </c>
    </row>
    <row r="87" spans="1:19">
      <c r="A87" s="158" t="s">
        <v>284</v>
      </c>
      <c r="B87" s="159">
        <f t="shared" ref="B87:G87" si="28">SUM(B82:B86)</f>
        <v>0</v>
      </c>
      <c r="C87" s="159">
        <f t="shared" si="28"/>
        <v>0</v>
      </c>
      <c r="D87" s="159">
        <f t="shared" si="28"/>
        <v>0</v>
      </c>
      <c r="E87" s="159">
        <f t="shared" si="28"/>
        <v>270</v>
      </c>
      <c r="F87" s="159">
        <f t="shared" si="28"/>
        <v>304</v>
      </c>
      <c r="G87" s="159">
        <f t="shared" si="28"/>
        <v>348</v>
      </c>
      <c r="H87" s="126"/>
      <c r="I87" s="121"/>
      <c r="J87" s="121"/>
      <c r="K87" s="121"/>
      <c r="L87" s="121"/>
      <c r="M87" s="121"/>
      <c r="N87" s="159">
        <f>SUM(N82:N86)</f>
        <v>769.07238641968604</v>
      </c>
      <c r="O87" s="159">
        <f>SUM(O82:O86)</f>
        <v>1344.1371375611498</v>
      </c>
      <c r="P87" s="159">
        <f>SUM(P82:P86)</f>
        <v>2048.6171879619301</v>
      </c>
      <c r="Q87" s="159">
        <f>SUM(Q82:Q86)</f>
        <v>2834.2307634945751</v>
      </c>
      <c r="R87" s="159">
        <f>SUM(R82:R86)</f>
        <v>3697.0925761548492</v>
      </c>
      <c r="S87" s="158" t="s">
        <v>285</v>
      </c>
    </row>
    <row r="88" spans="1:19">
      <c r="A88" s="162" t="s">
        <v>351</v>
      </c>
      <c r="B88" s="163">
        <v>0</v>
      </c>
      <c r="C88" s="163">
        <v>0</v>
      </c>
      <c r="D88" s="163">
        <v>0</v>
      </c>
      <c r="E88" s="163">
        <v>0</v>
      </c>
      <c r="F88" s="163">
        <v>0</v>
      </c>
      <c r="G88" s="163">
        <v>0</v>
      </c>
      <c r="H88" s="164"/>
      <c r="I88" s="164"/>
      <c r="J88" s="164"/>
      <c r="K88" s="164"/>
      <c r="L88" s="164"/>
      <c r="M88" s="164"/>
      <c r="N88" s="165"/>
      <c r="O88" s="165"/>
      <c r="P88" s="165"/>
      <c r="Q88" s="165"/>
      <c r="R88" s="165"/>
      <c r="S88" s="162" t="s">
        <v>351</v>
      </c>
    </row>
    <row r="89" spans="1:19">
      <c r="A89" s="90" t="s">
        <v>286</v>
      </c>
      <c r="B89" s="112">
        <f t="shared" ref="B89:G89" si="29">B80+B87+B88</f>
        <v>0</v>
      </c>
      <c r="C89" s="112">
        <f t="shared" si="29"/>
        <v>0</v>
      </c>
      <c r="D89" s="112">
        <f t="shared" si="29"/>
        <v>0</v>
      </c>
      <c r="E89" s="112">
        <f t="shared" si="29"/>
        <v>594</v>
      </c>
      <c r="F89" s="112">
        <f t="shared" si="29"/>
        <v>736</v>
      </c>
      <c r="G89" s="112">
        <f t="shared" si="29"/>
        <v>933</v>
      </c>
      <c r="H89" s="166"/>
      <c r="I89" s="167" t="s">
        <v>106</v>
      </c>
      <c r="J89" s="167"/>
      <c r="K89" s="167"/>
      <c r="L89" s="167"/>
      <c r="M89" s="167"/>
      <c r="N89" s="112">
        <f>N80+N87+N88</f>
        <v>1540.1480143420022</v>
      </c>
      <c r="O89" s="112">
        <f>O80+O87+O88</f>
        <v>2140.7516070758843</v>
      </c>
      <c r="P89" s="112">
        <f>P80+P87+P88</f>
        <v>2875.1694759617594</v>
      </c>
      <c r="Q89" s="112">
        <f>Q80+Q87+Q88</f>
        <v>3681.0007244691533</v>
      </c>
      <c r="R89" s="112">
        <f>R80+R87+R88</f>
        <v>4563.6282000341143</v>
      </c>
      <c r="S89" s="90" t="s">
        <v>286</v>
      </c>
    </row>
    <row r="90" spans="1:19">
      <c r="A90" s="90"/>
      <c r="B90" s="90"/>
      <c r="C90" s="90"/>
      <c r="D90" s="90"/>
      <c r="E90" s="90"/>
      <c r="F90" s="90"/>
      <c r="G90" s="90"/>
      <c r="H90" s="90"/>
      <c r="I90" s="90" t="s">
        <v>106</v>
      </c>
      <c r="J90" s="90"/>
      <c r="K90" s="90"/>
      <c r="L90" s="90"/>
      <c r="M90" s="90"/>
      <c r="N90" s="112"/>
      <c r="O90" s="112"/>
      <c r="P90" s="112"/>
      <c r="Q90" s="112"/>
      <c r="R90" s="112"/>
      <c r="S90" s="90"/>
    </row>
    <row r="91" spans="1:19">
      <c r="A91" s="90"/>
      <c r="B91" s="90"/>
      <c r="C91" s="90"/>
      <c r="F91" s="90"/>
      <c r="G91" s="90"/>
      <c r="H91" s="90"/>
      <c r="I91" s="90"/>
      <c r="K91" s="88" t="s">
        <v>287</v>
      </c>
      <c r="L91" s="90"/>
      <c r="M91" s="90"/>
      <c r="N91" s="168">
        <f>N62-N89</f>
        <v>-644.02226091734462</v>
      </c>
      <c r="O91" s="168">
        <f>O62-O89</f>
        <v>-1138.1185615964321</v>
      </c>
      <c r="P91" s="168">
        <f>P62-P89</f>
        <v>-1790.4329957864165</v>
      </c>
      <c r="Q91" s="168">
        <f>Q62-Q89</f>
        <v>-2327.6535994841665</v>
      </c>
      <c r="R91" s="168">
        <f>R62-R89</f>
        <v>-3122.0794056748109</v>
      </c>
      <c r="S91" s="90"/>
    </row>
    <row r="92" spans="1:19">
      <c r="A92" s="62"/>
      <c r="B92" s="62"/>
      <c r="C92" s="62"/>
      <c r="D92" s="62"/>
      <c r="S92" s="62"/>
    </row>
    <row r="93" spans="1:19">
      <c r="A93" s="97" t="s">
        <v>288</v>
      </c>
      <c r="B93" s="97" t="s">
        <v>289</v>
      </c>
      <c r="C93" s="97"/>
      <c r="N93" s="97" t="s">
        <v>219</v>
      </c>
      <c r="O93" s="97"/>
      <c r="P93" s="97"/>
      <c r="Q93" s="97"/>
      <c r="R93" s="97"/>
      <c r="S93" s="97" t="s">
        <v>288</v>
      </c>
    </row>
    <row r="94" spans="1:19">
      <c r="A94" s="148" t="s">
        <v>220</v>
      </c>
      <c r="B94" s="99">
        <f t="shared" ref="B94:D95" si="30">B43</f>
        <v>-5</v>
      </c>
      <c r="C94" s="99">
        <f t="shared" si="30"/>
        <v>-4</v>
      </c>
      <c r="D94" s="99">
        <f t="shared" si="30"/>
        <v>-3</v>
      </c>
      <c r="E94" s="99">
        <f>+E5</f>
        <v>-2</v>
      </c>
      <c r="F94" s="99">
        <f>F5</f>
        <v>-1</v>
      </c>
      <c r="G94" s="99">
        <f>G5</f>
        <v>0</v>
      </c>
      <c r="H94" s="99"/>
      <c r="I94" s="99" t="s">
        <v>106</v>
      </c>
      <c r="J94" s="99" t="s">
        <v>106</v>
      </c>
      <c r="K94" s="99" t="s">
        <v>106</v>
      </c>
      <c r="L94" s="99" t="s">
        <v>106</v>
      </c>
      <c r="M94" s="99" t="s">
        <v>106</v>
      </c>
      <c r="N94" s="99">
        <f>N5</f>
        <v>0</v>
      </c>
      <c r="O94" s="99">
        <f>O5</f>
        <v>1</v>
      </c>
      <c r="P94" s="99">
        <f>P5</f>
        <v>2</v>
      </c>
      <c r="Q94" s="99">
        <f>Q5</f>
        <v>3</v>
      </c>
      <c r="R94" s="99">
        <f>R5</f>
        <v>4</v>
      </c>
      <c r="S94" s="148" t="s">
        <v>220</v>
      </c>
    </row>
    <row r="95" spans="1:19">
      <c r="A95" s="148" t="s">
        <v>290</v>
      </c>
      <c r="B95" s="169">
        <f t="shared" si="30"/>
        <v>1998</v>
      </c>
      <c r="C95" s="169">
        <f t="shared" si="30"/>
        <v>1999</v>
      </c>
      <c r="D95" s="169">
        <f t="shared" si="30"/>
        <v>2000</v>
      </c>
      <c r="E95" s="169">
        <f>E44</f>
        <v>2001</v>
      </c>
      <c r="F95" s="169">
        <f>F44</f>
        <v>2002</v>
      </c>
      <c r="G95" s="169">
        <f>G44</f>
        <v>2003</v>
      </c>
      <c r="H95" s="169" t="s">
        <v>106</v>
      </c>
      <c r="I95" s="169" t="s">
        <v>106</v>
      </c>
      <c r="J95" s="169" t="s">
        <v>106</v>
      </c>
      <c r="K95" s="169" t="s">
        <v>106</v>
      </c>
      <c r="L95" s="169" t="s">
        <v>106</v>
      </c>
      <c r="M95" s="169" t="s">
        <v>106</v>
      </c>
      <c r="N95" s="169">
        <f>N44</f>
        <v>2003</v>
      </c>
      <c r="O95" s="169">
        <f>O44</f>
        <v>2004</v>
      </c>
      <c r="P95" s="169">
        <f>P44</f>
        <v>2005</v>
      </c>
      <c r="Q95" s="169">
        <f>Q44</f>
        <v>2006</v>
      </c>
      <c r="R95" s="169">
        <f>R44</f>
        <v>2007</v>
      </c>
      <c r="S95" s="148" t="s">
        <v>290</v>
      </c>
    </row>
    <row r="96" spans="1:19">
      <c r="A96" s="97" t="s">
        <v>291</v>
      </c>
      <c r="B96" s="97"/>
      <c r="C96" s="97"/>
      <c r="N96" s="170" t="s">
        <v>292</v>
      </c>
      <c r="S96" s="97" t="s">
        <v>291</v>
      </c>
    </row>
    <row r="97" spans="1:19">
      <c r="A97" s="62" t="s">
        <v>293</v>
      </c>
      <c r="B97" s="171" t="e">
        <f t="shared" ref="B97:G97" si="31">B52/B72</f>
        <v>#DIV/0!</v>
      </c>
      <c r="C97" s="171" t="e">
        <f t="shared" si="31"/>
        <v>#DIV/0!</v>
      </c>
      <c r="D97" s="171" t="e">
        <f t="shared" si="31"/>
        <v>#DIV/0!</v>
      </c>
      <c r="E97" s="171">
        <f t="shared" si="31"/>
        <v>1.8</v>
      </c>
      <c r="F97" s="171">
        <f t="shared" si="31"/>
        <v>1.5893333333333333</v>
      </c>
      <c r="G97" s="171">
        <f t="shared" si="31"/>
        <v>1.4504672897196262</v>
      </c>
      <c r="H97" s="171"/>
      <c r="I97" s="171" t="s">
        <v>106</v>
      </c>
      <c r="J97" s="171"/>
      <c r="K97" s="171"/>
      <c r="L97" s="171"/>
      <c r="M97" s="171"/>
      <c r="N97" s="171">
        <f>N52/N72</f>
        <v>1.9055287162714583</v>
      </c>
      <c r="O97" s="171">
        <f>O52/O72</f>
        <v>2.0771602076534772</v>
      </c>
      <c r="P97" s="171">
        <f>P52/P72</f>
        <v>2.1317116850234958</v>
      </c>
      <c r="Q97" s="171">
        <f>Q52/Q72</f>
        <v>2.3267484975264816</v>
      </c>
      <c r="R97" s="171">
        <f>R52/R72</f>
        <v>2.4307254914914407</v>
      </c>
      <c r="S97" s="62" t="s">
        <v>293</v>
      </c>
    </row>
    <row r="98" spans="1:19">
      <c r="A98" s="62" t="s">
        <v>294</v>
      </c>
      <c r="B98" s="171" t="e">
        <f t="shared" ref="B98:G98" si="32">(B52-B50)/B72</f>
        <v>#DIV/0!</v>
      </c>
      <c r="C98" s="171" t="e">
        <f t="shared" si="32"/>
        <v>#DIV/0!</v>
      </c>
      <c r="D98" s="171" t="e">
        <f t="shared" si="32"/>
        <v>#DIV/0!</v>
      </c>
      <c r="E98" s="171">
        <f t="shared" si="32"/>
        <v>0.88076923076923075</v>
      </c>
      <c r="F98" s="171">
        <f t="shared" si="32"/>
        <v>0.72</v>
      </c>
      <c r="G98" s="171">
        <f t="shared" si="32"/>
        <v>0.66915887850467293</v>
      </c>
      <c r="H98" s="171" t="s">
        <v>106</v>
      </c>
      <c r="I98" s="171" t="s">
        <v>106</v>
      </c>
      <c r="J98" s="171" t="s">
        <v>106</v>
      </c>
      <c r="K98" s="171" t="s">
        <v>106</v>
      </c>
      <c r="L98" s="171" t="s">
        <v>106</v>
      </c>
      <c r="M98" s="171" t="s">
        <v>106</v>
      </c>
      <c r="N98" s="171">
        <f>(N52-N50)/N72</f>
        <v>1.2627914734355592</v>
      </c>
      <c r="O98" s="171">
        <f>(O52-O50)/O72</f>
        <v>1.3342256449482996</v>
      </c>
      <c r="P98" s="171">
        <f>(P52-P50)/P72</f>
        <v>1.4017287553145001</v>
      </c>
      <c r="Q98" s="171">
        <f>(Q52-Q50)/Q72</f>
        <v>1.4946249560704448</v>
      </c>
      <c r="R98" s="171">
        <f>(R52-R50)/R72</f>
        <v>1.5756833723465218</v>
      </c>
      <c r="S98" s="62" t="s">
        <v>294</v>
      </c>
    </row>
    <row r="99" spans="1:19">
      <c r="A99" s="172" t="s">
        <v>420</v>
      </c>
      <c r="B99" s="171" t="e">
        <f t="shared" ref="B99:G99" si="33">B49/(B8/365)</f>
        <v>#DIV/0!</v>
      </c>
      <c r="C99" s="171" t="e">
        <f t="shared" si="33"/>
        <v>#DIV/0!</v>
      </c>
      <c r="D99" s="171" t="e">
        <f t="shared" si="33"/>
        <v>#DIV/0!</v>
      </c>
      <c r="E99" s="171">
        <f t="shared" si="33"/>
        <v>36.779611078373605</v>
      </c>
      <c r="F99" s="171">
        <f t="shared" si="33"/>
        <v>40.253353204172875</v>
      </c>
      <c r="G99" s="171">
        <f t="shared" si="33"/>
        <v>42.949146250927988</v>
      </c>
      <c r="H99" s="171" t="s">
        <v>421</v>
      </c>
      <c r="I99" s="171"/>
      <c r="J99" s="171"/>
      <c r="K99" s="171"/>
      <c r="L99" s="171"/>
      <c r="M99" s="171"/>
      <c r="N99" s="171">
        <f>N49/(N8/365)</f>
        <v>49.999999999999993</v>
      </c>
      <c r="O99" s="171">
        <f>O49/(O8/365)</f>
        <v>52</v>
      </c>
      <c r="P99" s="171">
        <f>P49/(P8/365)</f>
        <v>54</v>
      </c>
      <c r="Q99" s="171">
        <f>Q49/(Q8/365)</f>
        <v>56</v>
      </c>
      <c r="R99" s="171">
        <f>R49/(R8/365)</f>
        <v>58</v>
      </c>
      <c r="S99" s="62" t="s">
        <v>422</v>
      </c>
    </row>
    <row r="100" spans="1:19">
      <c r="A100" s="172" t="s">
        <v>423</v>
      </c>
      <c r="B100" s="171" t="e">
        <f>-B50/(B9/365)</f>
        <v>#DIV/0!</v>
      </c>
      <c r="C100" s="171" t="e">
        <f>-C50/(C9/365)</f>
        <v>#DIV/0!</v>
      </c>
      <c r="D100" s="171" t="e">
        <f>-D50/(D9/365)</f>
        <v>#DIV/0!</v>
      </c>
      <c r="E100" s="171">
        <f>E50/(E9/365)</f>
        <v>71.387070376432078</v>
      </c>
      <c r="F100" s="171">
        <f>F50/(F9/365)</f>
        <v>82.804453723034101</v>
      </c>
      <c r="G100" s="171">
        <f>G50/(G9/365)</f>
        <v>78.241025641025644</v>
      </c>
      <c r="H100" s="171" t="s">
        <v>421</v>
      </c>
      <c r="I100" s="171"/>
      <c r="J100" s="171"/>
      <c r="K100" s="171"/>
      <c r="L100" s="171"/>
      <c r="M100" s="171"/>
      <c r="N100" s="171">
        <f>N50/-(N9/365)</f>
        <v>50</v>
      </c>
      <c r="O100" s="171">
        <f>O50/-(O9/365)</f>
        <v>55</v>
      </c>
      <c r="P100" s="171">
        <f>P50/-(P9/365)</f>
        <v>55.000000000000007</v>
      </c>
      <c r="Q100" s="171">
        <f>Q50/-(Q9/365)</f>
        <v>59.999999999999993</v>
      </c>
      <c r="R100" s="171">
        <f>R50/-(R9/365)</f>
        <v>60</v>
      </c>
      <c r="S100" s="62" t="s">
        <v>424</v>
      </c>
    </row>
    <row r="101" spans="1:19">
      <c r="A101" s="172" t="s">
        <v>425</v>
      </c>
      <c r="B101" s="171" t="e">
        <f>-B66/(B9/365)</f>
        <v>#DIV/0!</v>
      </c>
      <c r="C101" s="171" t="e">
        <f>-C66/(C9/365)</f>
        <v>#DIV/0!</v>
      </c>
      <c r="D101" s="171" t="e">
        <f>-D66/(D9/365)</f>
        <v>#DIV/0!</v>
      </c>
      <c r="E101" s="171">
        <f>E66/(E9/365)</f>
        <v>37.037643207855979</v>
      </c>
      <c r="F101" s="171">
        <f>F66/(F9/365)</f>
        <v>48.768267223382047</v>
      </c>
      <c r="G101" s="171">
        <f>G66/(G9/365)</f>
        <v>47.917948717948718</v>
      </c>
      <c r="H101" s="171" t="s">
        <v>421</v>
      </c>
      <c r="I101" s="171"/>
      <c r="J101" s="171"/>
      <c r="K101" s="171"/>
      <c r="L101" s="171"/>
      <c r="M101" s="171"/>
      <c r="N101" s="171">
        <f>N66/(-N9/365)</f>
        <v>50</v>
      </c>
      <c r="O101" s="171">
        <f>O66/(-O9/365)</f>
        <v>55</v>
      </c>
      <c r="P101" s="171">
        <f>P66/(-P9/365)</f>
        <v>60.000000000000007</v>
      </c>
      <c r="Q101" s="171">
        <f>Q66/(-Q9/365)</f>
        <v>59.999999999999993</v>
      </c>
      <c r="R101" s="171">
        <f>R66/(-R9/365)</f>
        <v>60</v>
      </c>
      <c r="S101" s="62" t="s">
        <v>426</v>
      </c>
    </row>
    <row r="102" spans="1:19">
      <c r="A102" s="62"/>
      <c r="S102" s="62"/>
    </row>
    <row r="103" spans="1:19">
      <c r="A103" s="97" t="s">
        <v>427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97" t="s">
        <v>427</v>
      </c>
    </row>
    <row r="104" spans="1:19">
      <c r="A104" s="62" t="s">
        <v>428</v>
      </c>
      <c r="B104" s="173" t="e">
        <f t="shared" ref="B104:G104" si="34">(B76+B77)/(B76+B77+B87)</f>
        <v>#DIV/0!</v>
      </c>
      <c r="C104" s="173" t="e">
        <f t="shared" si="34"/>
        <v>#DIV/0!</v>
      </c>
      <c r="D104" s="173" t="e">
        <f t="shared" si="34"/>
        <v>#DIV/0!</v>
      </c>
      <c r="E104" s="173">
        <f t="shared" si="34"/>
        <v>0.19161676646706588</v>
      </c>
      <c r="F104" s="173">
        <f t="shared" si="34"/>
        <v>0.15789473684210525</v>
      </c>
      <c r="G104" s="173">
        <f t="shared" si="34"/>
        <v>0.12562814070351758</v>
      </c>
      <c r="H104" s="173"/>
      <c r="I104" s="173" t="s">
        <v>106</v>
      </c>
      <c r="J104" s="173"/>
      <c r="K104" s="173"/>
      <c r="L104" s="173"/>
      <c r="M104" s="173"/>
      <c r="N104" s="174">
        <f>(N76+N77)/(N69+N70+N82+N83+N86)</f>
        <v>0.54034836981611511</v>
      </c>
      <c r="O104" s="174">
        <f>(O76+O77)/(O69+O70+O82+O83+O86)</f>
        <v>0.30867024809110233</v>
      </c>
      <c r="P104" s="174">
        <f>(P76+P77)/(P69+P70+P82+P83+P86)</f>
        <v>0.20237401456867671</v>
      </c>
      <c r="Q104" s="174">
        <f>(Q76+Q77)/(Q69+Q70+Q82+Q83+Q86)</f>
        <v>0.14622099450119341</v>
      </c>
      <c r="R104" s="174">
        <f>(R76+R77)/(R69+R70+R82+R83+R86)</f>
        <v>0.11206779058359691</v>
      </c>
      <c r="S104" s="170" t="s">
        <v>428</v>
      </c>
    </row>
    <row r="105" spans="1:19">
      <c r="A105" s="62" t="s">
        <v>429</v>
      </c>
      <c r="B105" s="173" t="e">
        <f t="shared" ref="B105:G105" si="35">(B76+B77)/(B87)</f>
        <v>#DIV/0!</v>
      </c>
      <c r="C105" s="173" t="e">
        <f t="shared" si="35"/>
        <v>#DIV/0!</v>
      </c>
      <c r="D105" s="173" t="e">
        <f t="shared" si="35"/>
        <v>#DIV/0!</v>
      </c>
      <c r="E105" s="173">
        <f t="shared" si="35"/>
        <v>0.23703703703703705</v>
      </c>
      <c r="F105" s="173">
        <f t="shared" si="35"/>
        <v>0.1875</v>
      </c>
      <c r="G105" s="173">
        <f t="shared" si="35"/>
        <v>0.14367816091954022</v>
      </c>
      <c r="H105" s="173"/>
      <c r="I105" s="173" t="s">
        <v>106</v>
      </c>
      <c r="J105" s="173"/>
      <c r="K105" s="173"/>
      <c r="L105" s="173"/>
      <c r="M105" s="173"/>
      <c r="N105" s="174">
        <f>(N76+N77)/(N82+N83+N86)</f>
        <v>0.63431517651765146</v>
      </c>
      <c r="O105" s="174">
        <f>(O76+O77)/(O82+O83+O86)</f>
        <v>0.33720573185754915</v>
      </c>
      <c r="P105" s="174">
        <f>(P76+P77)/(P82+P83+P86)</f>
        <v>0.21426162782284333</v>
      </c>
      <c r="Q105" s="174">
        <f>(Q76+Q77)/(Q82+Q83+Q86)</f>
        <v>0.15232736547130721</v>
      </c>
      <c r="R105" s="174">
        <f>(R76+R77)/(R82+R83+R86)</f>
        <v>0.11562009058163175</v>
      </c>
      <c r="S105" s="170" t="s">
        <v>429</v>
      </c>
    </row>
    <row r="106" spans="1:19">
      <c r="A106" s="62" t="s">
        <v>430</v>
      </c>
      <c r="B106" s="171" t="e">
        <f>-B18/B19</f>
        <v>#DIV/0!</v>
      </c>
      <c r="C106" s="171" t="e">
        <f>-C18/C19</f>
        <v>#DIV/0!</v>
      </c>
      <c r="D106" s="171" t="e">
        <f>-D18/D19</f>
        <v>#DIV/0!</v>
      </c>
      <c r="E106" s="171">
        <f>E18/E19</f>
        <v>3.8461538461538463</v>
      </c>
      <c r="F106" s="171">
        <f>F18/F19</f>
        <v>3.05</v>
      </c>
      <c r="G106" s="171">
        <f>G18/G19</f>
        <v>2.606060606060606</v>
      </c>
      <c r="H106" s="171" t="s">
        <v>431</v>
      </c>
      <c r="I106" s="171" t="s">
        <v>106</v>
      </c>
      <c r="J106" s="171"/>
      <c r="K106" s="171"/>
      <c r="L106" s="171"/>
      <c r="M106" s="171"/>
      <c r="N106" s="175" t="e">
        <f>N18/N19</f>
        <v>#DIV/0!</v>
      </c>
      <c r="O106" s="175" t="e">
        <f>O18/O19</f>
        <v>#DIV/0!</v>
      </c>
      <c r="P106" s="175" t="e">
        <f>P18/P19</f>
        <v>#DIV/0!</v>
      </c>
      <c r="Q106" s="175" t="e">
        <f>Q18/Q19</f>
        <v>#DIV/0!</v>
      </c>
      <c r="R106" s="175" t="e">
        <f>R18/R19</f>
        <v>#DIV/0!</v>
      </c>
      <c r="S106" s="170" t="s">
        <v>430</v>
      </c>
    </row>
    <row r="107" spans="1:19">
      <c r="A107" s="62" t="s">
        <v>432</v>
      </c>
      <c r="B107" s="171" t="e">
        <f>(B18+B69)/((-B19+B69)/(1-(-B23/B22)))</f>
        <v>#DIV/0!</v>
      </c>
      <c r="C107" s="171" t="e">
        <f>(C18+C69)/((-C19+C69)/(1-(-C23/C22)))</f>
        <v>#DIV/0!</v>
      </c>
      <c r="D107" s="171" t="e">
        <f>(D18+D69)/((-D19+D69)/(1-(-D23/D22)))</f>
        <v>#DIV/0!</v>
      </c>
      <c r="E107" s="171">
        <f>(E18+E69)/((E19+E69)/(1-(E23/E22)))</f>
        <v>3.2224532224532227</v>
      </c>
      <c r="F107" s="171">
        <f>(F18+F69)/((F19+F69)/(1-(F23/F22)))</f>
        <v>2.5292682926829269</v>
      </c>
      <c r="G107" s="171">
        <f>(G18+G69)/((G19+G69)/(1-(G23/G22)))</f>
        <v>2.1635220125786163</v>
      </c>
      <c r="H107" s="171" t="s">
        <v>431</v>
      </c>
      <c r="I107" s="171" t="s">
        <v>431</v>
      </c>
      <c r="J107" s="171" t="s">
        <v>431</v>
      </c>
      <c r="K107" s="171" t="s">
        <v>431</v>
      </c>
      <c r="L107" s="171" t="s">
        <v>431</v>
      </c>
      <c r="M107" s="171" t="s">
        <v>431</v>
      </c>
      <c r="N107" s="175">
        <f>(N18+N69)/((-N19+N69)/(1-(-N23/N22)))</f>
        <v>166.65524558639797</v>
      </c>
      <c r="O107" s="175">
        <f>(O18+O69)/((-O19+O69)/(1-(-O23/O22)))</f>
        <v>448.29947004878056</v>
      </c>
      <c r="P107" s="175">
        <f>(P18+P69)/((-P19+P69)/(1-(-P23/P22)))</f>
        <v>584.33500135024406</v>
      </c>
      <c r="Q107" s="175">
        <f>(Q18+Q69)/((-Q19+Q69)/(1-(-Q23/Q22)))</f>
        <v>695.5914709341663</v>
      </c>
      <c r="R107" s="175">
        <f>(R18+R69)/((-R19+R69)/(1-(-R23/R22)))</f>
        <v>764.25657060317087</v>
      </c>
      <c r="S107" s="170" t="s">
        <v>432</v>
      </c>
    </row>
    <row r="109" spans="1:19">
      <c r="A109" s="97" t="s">
        <v>433</v>
      </c>
      <c r="S109" s="97" t="s">
        <v>434</v>
      </c>
    </row>
    <row r="110" spans="1:19">
      <c r="A110" s="62" t="s">
        <v>435</v>
      </c>
      <c r="B110" s="171" t="e">
        <f t="shared" ref="B110:G110" si="36">B8/B61</f>
        <v>#DIV/0!</v>
      </c>
      <c r="C110" s="171" t="e">
        <f t="shared" si="36"/>
        <v>#DIV/0!</v>
      </c>
      <c r="D110" s="171" t="e">
        <f t="shared" si="36"/>
        <v>#DIV/0!</v>
      </c>
      <c r="E110" s="171">
        <f t="shared" si="36"/>
        <v>13.468253968253968</v>
      </c>
      <c r="F110" s="171">
        <f t="shared" si="36"/>
        <v>14.378571428571428</v>
      </c>
      <c r="G110" s="171">
        <f t="shared" si="36"/>
        <v>17.159235668789808</v>
      </c>
      <c r="H110" s="171"/>
      <c r="I110" s="171" t="s">
        <v>106</v>
      </c>
      <c r="J110" s="171"/>
      <c r="K110" s="171"/>
      <c r="L110" s="171"/>
      <c r="M110" s="171"/>
      <c r="N110" s="171">
        <f>N8/N61</f>
        <v>7.3175809649702579</v>
      </c>
      <c r="O110" s="171">
        <f>O8/O61</f>
        <v>8.1956906807666901</v>
      </c>
      <c r="P110" s="171">
        <f>P8/P61</f>
        <v>9.1822080000000028</v>
      </c>
      <c r="Q110" s="171">
        <f>Q8/Q61</f>
        <v>6.874988000883981</v>
      </c>
      <c r="R110" s="171">
        <f>R8/R61</f>
        <v>7.42662828477454</v>
      </c>
      <c r="S110" s="62" t="s">
        <v>435</v>
      </c>
    </row>
    <row r="111" spans="1:19">
      <c r="A111" s="62" t="s">
        <v>436</v>
      </c>
      <c r="B111" s="171" t="e">
        <f t="shared" ref="B111:G111" si="37">B8/B62</f>
        <v>#DIV/0!</v>
      </c>
      <c r="C111" s="171" t="e">
        <f t="shared" si="37"/>
        <v>#DIV/0!</v>
      </c>
      <c r="D111" s="171" t="e">
        <f t="shared" si="37"/>
        <v>#DIV/0!</v>
      </c>
      <c r="E111" s="171">
        <f t="shared" si="37"/>
        <v>2.8569023569023568</v>
      </c>
      <c r="F111" s="171">
        <f t="shared" si="37"/>
        <v>2.7350543478260869</v>
      </c>
      <c r="G111" s="171">
        <f t="shared" si="37"/>
        <v>2.887459807073955</v>
      </c>
      <c r="H111" s="171"/>
      <c r="I111" s="171" t="s">
        <v>106</v>
      </c>
      <c r="J111" s="171"/>
      <c r="K111" s="171"/>
      <c r="L111" s="171"/>
      <c r="M111" s="171"/>
      <c r="N111" s="171">
        <f>N8/N62</f>
        <v>2.4709701641067379</v>
      </c>
      <c r="O111" s="171">
        <f>O8/O62</f>
        <v>2.4735031537027328</v>
      </c>
      <c r="P111" s="171">
        <f>P8/P62</f>
        <v>2.5606384322494726</v>
      </c>
      <c r="Q111" s="171">
        <f>Q8/Q62</f>
        <v>2.2986948529073885</v>
      </c>
      <c r="R111" s="171">
        <f>R8/R62</f>
        <v>2.3306922729072577</v>
      </c>
      <c r="S111" s="62" t="s">
        <v>436</v>
      </c>
    </row>
    <row r="112" spans="1:19">
      <c r="A112" s="62"/>
      <c r="S112" s="62"/>
    </row>
    <row r="113" spans="1:19">
      <c r="A113" s="97" t="s">
        <v>437</v>
      </c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97" t="s">
        <v>437</v>
      </c>
    </row>
    <row r="114" spans="1:19">
      <c r="A114" s="62" t="s">
        <v>438</v>
      </c>
      <c r="B114" s="173" t="e">
        <f t="shared" ref="B114:G114" si="38">B10/B8</f>
        <v>#DIV/0!</v>
      </c>
      <c r="C114" s="173" t="e">
        <f t="shared" si="38"/>
        <v>#DIV/0!</v>
      </c>
      <c r="D114" s="173" t="e">
        <f t="shared" si="38"/>
        <v>#DIV/0!</v>
      </c>
      <c r="E114" s="173">
        <f t="shared" si="38"/>
        <v>0.2799057159693577</v>
      </c>
      <c r="F114" s="173">
        <f t="shared" si="38"/>
        <v>0.28614008941877794</v>
      </c>
      <c r="G114" s="173">
        <f t="shared" si="38"/>
        <v>0.27616926503340755</v>
      </c>
      <c r="H114" s="173"/>
      <c r="I114" s="173" t="s">
        <v>106</v>
      </c>
      <c r="J114" s="173"/>
      <c r="K114" s="173"/>
      <c r="L114" s="173"/>
      <c r="M114" s="173"/>
      <c r="N114" s="173">
        <f>N10/N8</f>
        <v>0.34</v>
      </c>
      <c r="O114" s="173">
        <f>O10/O8</f>
        <v>0.33</v>
      </c>
      <c r="P114" s="173">
        <f>P10/P8</f>
        <v>0.36</v>
      </c>
      <c r="Q114" s="173">
        <f>Q10/Q8</f>
        <v>0.37</v>
      </c>
      <c r="R114" s="173">
        <f>R10/R8</f>
        <v>0.37</v>
      </c>
      <c r="S114" s="62" t="s">
        <v>438</v>
      </c>
    </row>
    <row r="115" spans="1:19">
      <c r="A115" s="62" t="s">
        <v>439</v>
      </c>
      <c r="B115" s="173" t="e">
        <f t="shared" ref="B115:G115" si="39">B18/B8</f>
        <v>#DIV/0!</v>
      </c>
      <c r="C115" s="173" t="e">
        <f t="shared" si="39"/>
        <v>#DIV/0!</v>
      </c>
      <c r="D115" s="173" t="e">
        <f t="shared" si="39"/>
        <v>#DIV/0!</v>
      </c>
      <c r="E115" s="173">
        <f t="shared" si="39"/>
        <v>2.9463759575721862E-2</v>
      </c>
      <c r="F115" s="173">
        <f t="shared" si="39"/>
        <v>3.0303030303030304E-2</v>
      </c>
      <c r="G115" s="173">
        <f t="shared" si="39"/>
        <v>3.1922791388270227E-2</v>
      </c>
      <c r="H115" s="173" t="s">
        <v>431</v>
      </c>
      <c r="I115" s="173" t="s">
        <v>106</v>
      </c>
      <c r="J115" s="173"/>
      <c r="K115" s="173"/>
      <c r="L115" s="173"/>
      <c r="M115" s="173"/>
      <c r="N115" s="173">
        <f>N18/N8</f>
        <v>9.5753526354862659E-2</v>
      </c>
      <c r="O115" s="173">
        <f>O18/O8</f>
        <v>0.23099999999999998</v>
      </c>
      <c r="P115" s="173">
        <f>P18/P8</f>
        <v>0.26899999999999996</v>
      </c>
      <c r="Q115" s="173">
        <f>Q18/Q8</f>
        <v>0.28600000000000003</v>
      </c>
      <c r="R115" s="173">
        <f>R18/R8</f>
        <v>0.29099999999999998</v>
      </c>
      <c r="S115" s="62" t="s">
        <v>439</v>
      </c>
    </row>
    <row r="116" spans="1:19">
      <c r="A116" t="s">
        <v>440</v>
      </c>
      <c r="B116" s="173" t="e">
        <f t="shared" ref="B116:G116" si="40">B27/B8</f>
        <v>#DIV/0!</v>
      </c>
      <c r="C116" s="173" t="e">
        <f t="shared" si="40"/>
        <v>#DIV/0!</v>
      </c>
      <c r="D116" s="173" t="e">
        <f t="shared" si="40"/>
        <v>#DIV/0!</v>
      </c>
      <c r="E116" s="173">
        <f t="shared" si="40"/>
        <v>1.8267530936947555E-2</v>
      </c>
      <c r="F116" s="173">
        <f t="shared" si="40"/>
        <v>1.6890213611525089E-2</v>
      </c>
      <c r="G116" s="173">
        <f t="shared" si="40"/>
        <v>1.6332590942835932E-2</v>
      </c>
      <c r="H116" s="173" t="s">
        <v>431</v>
      </c>
      <c r="I116" s="173" t="s">
        <v>106</v>
      </c>
      <c r="J116" s="173"/>
      <c r="K116" s="173"/>
      <c r="L116" s="173"/>
      <c r="M116" s="173"/>
      <c r="N116" s="174">
        <f>N27/N8</f>
        <v>0.11474526006196392</v>
      </c>
      <c r="O116" s="174">
        <f>O27/O8</f>
        <v>0.2727993553464092</v>
      </c>
      <c r="P116" s="174">
        <f>P27/P8</f>
        <v>0.3170342676220117</v>
      </c>
      <c r="Q116" s="174">
        <f>Q27/Q8</f>
        <v>0.33671090967993217</v>
      </c>
      <c r="R116" s="174">
        <f>R27/R8</f>
        <v>0.34242518737301753</v>
      </c>
      <c r="S116" s="170" t="s">
        <v>440</v>
      </c>
    </row>
    <row r="117" spans="1:19">
      <c r="A117" s="62" t="s">
        <v>441</v>
      </c>
      <c r="B117" s="173" t="e">
        <f t="shared" ref="B117:G117" si="41">B27/B62</f>
        <v>#DIV/0!</v>
      </c>
      <c r="C117" s="173" t="e">
        <f t="shared" si="41"/>
        <v>#DIV/0!</v>
      </c>
      <c r="D117" s="173" t="e">
        <f t="shared" si="41"/>
        <v>#DIV/0!</v>
      </c>
      <c r="E117" s="173">
        <f t="shared" si="41"/>
        <v>5.2188552188552187E-2</v>
      </c>
      <c r="F117" s="173">
        <f t="shared" si="41"/>
        <v>4.619565217391304E-2</v>
      </c>
      <c r="G117" s="173">
        <f t="shared" si="41"/>
        <v>4.7159699892818867E-2</v>
      </c>
      <c r="H117" s="173"/>
      <c r="I117" s="173" t="s">
        <v>106</v>
      </c>
      <c r="J117" s="173"/>
      <c r="K117" s="173"/>
      <c r="L117" s="173"/>
      <c r="M117" s="173"/>
      <c r="N117" s="174">
        <f>N27/N62</f>
        <v>0.28353211408578127</v>
      </c>
      <c r="O117" s="174">
        <f>O27/O62</f>
        <v>0.67477006577741572</v>
      </c>
      <c r="P117" s="174">
        <f>P27/P62</f>
        <v>0.81181013001298774</v>
      </c>
      <c r="Q117" s="174">
        <f>Q27/Q62</f>
        <v>0.77399563499902468</v>
      </c>
      <c r="R117" s="174">
        <f>R27/R62</f>
        <v>0.79808773825911183</v>
      </c>
      <c r="S117" s="170" t="s">
        <v>441</v>
      </c>
    </row>
    <row r="118" spans="1:19">
      <c r="A118" s="62" t="s">
        <v>442</v>
      </c>
      <c r="B118" s="173" t="e">
        <f t="shared" ref="B118:G118" si="42">B27/(B87)</f>
        <v>#DIV/0!</v>
      </c>
      <c r="C118" s="173" t="e">
        <f t="shared" si="42"/>
        <v>#DIV/0!</v>
      </c>
      <c r="D118" s="173" t="e">
        <f t="shared" si="42"/>
        <v>#DIV/0!</v>
      </c>
      <c r="E118" s="173">
        <f t="shared" si="42"/>
        <v>0.11481481481481481</v>
      </c>
      <c r="F118" s="173">
        <f t="shared" si="42"/>
        <v>0.1118421052631579</v>
      </c>
      <c r="G118" s="173">
        <f t="shared" si="42"/>
        <v>0.12643678160919541</v>
      </c>
      <c r="H118" s="173"/>
      <c r="I118" s="173" t="s">
        <v>106</v>
      </c>
      <c r="J118" s="173"/>
      <c r="K118" s="173"/>
      <c r="L118" s="173"/>
      <c r="M118" s="173"/>
      <c r="N118" s="174">
        <f>N27/(N82+N83+N86)</f>
        <v>0.38929244540127689</v>
      </c>
      <c r="O118" s="174">
        <f>O27/(O82+O83+O86)</f>
        <v>0.55105180526893027</v>
      </c>
      <c r="P118" s="174">
        <f>P27/(P82+P83+P86)</f>
        <v>0.45574590086832717</v>
      </c>
      <c r="Q118" s="174">
        <f>Q27/(Q82+Q83+Q86)</f>
        <v>0.38541206518319338</v>
      </c>
      <c r="R118" s="174">
        <f>R27/(R82+R83+R86)</f>
        <v>0.32130164553691432</v>
      </c>
      <c r="S118" s="170" t="s">
        <v>442</v>
      </c>
    </row>
    <row r="119" spans="1:19">
      <c r="A119" s="172" t="s">
        <v>443</v>
      </c>
      <c r="B119" s="173" t="e">
        <f>(B18*(1-(-B23/B22)))/B62</f>
        <v>#DIV/0!</v>
      </c>
      <c r="C119" s="173" t="e">
        <f>(C18*(1-(-C23/C22)))/C62</f>
        <v>#DIV/0!</v>
      </c>
      <c r="D119" s="173" t="e">
        <f>(D18*(1-(-D23/D22)))/D62</f>
        <v>#DIV/0!</v>
      </c>
      <c r="E119" s="173">
        <f>(E18*(1-(E23/E22)))/E62</f>
        <v>7.0525070525070524E-2</v>
      </c>
      <c r="F119" s="173">
        <f>(F18*(1-(F23/F22)))/F62</f>
        <v>6.8730116648992576E-2</v>
      </c>
      <c r="G119" s="173">
        <f>(G18*(1-(G23/G22)))/G62</f>
        <v>7.6523286618536274E-2</v>
      </c>
      <c r="H119" s="173" t="s">
        <v>431</v>
      </c>
      <c r="I119" s="173" t="s">
        <v>431</v>
      </c>
      <c r="J119" s="173" t="s">
        <v>431</v>
      </c>
      <c r="K119" s="173" t="s">
        <v>431</v>
      </c>
      <c r="L119" s="173" t="s">
        <v>431</v>
      </c>
      <c r="M119" s="173" t="s">
        <v>431</v>
      </c>
      <c r="N119" s="174">
        <f>(N18*(1-(-N23/N22)))/N62</f>
        <v>0.27699992983126692</v>
      </c>
      <c r="O119" s="174">
        <f>(O18*(1-(-O23/O22)))/O62</f>
        <v>0.66893177971355844</v>
      </c>
      <c r="P119" s="174">
        <f>(P18*(1-(-P23/P22)))/P62</f>
        <v>0.80641374237085806</v>
      </c>
      <c r="Q119" s="174">
        <f>(Q18*(1-(-Q23/Q22)))/Q62</f>
        <v>0.7696703156271375</v>
      </c>
      <c r="R119" s="174">
        <f>(R18*(1-(-R23/R22)))/R62</f>
        <v>0.79402706507240439</v>
      </c>
      <c r="S119" s="170" t="s">
        <v>443</v>
      </c>
    </row>
    <row r="121" spans="1:19">
      <c r="A121" s="97" t="s">
        <v>444</v>
      </c>
      <c r="B121" s="173" t="e">
        <f t="shared" ref="B121:G121" si="43">B124*B123*B122</f>
        <v>#DIV/0!</v>
      </c>
      <c r="C121" s="173" t="e">
        <f t="shared" si="43"/>
        <v>#DIV/0!</v>
      </c>
      <c r="D121" s="173" t="e">
        <f t="shared" si="43"/>
        <v>#DIV/0!</v>
      </c>
      <c r="E121" s="173">
        <f t="shared" si="43"/>
        <v>0.11481481481481483</v>
      </c>
      <c r="F121" s="173">
        <f t="shared" si="43"/>
        <v>0.11184210526315791</v>
      </c>
      <c r="G121" s="173">
        <f t="shared" si="43"/>
        <v>0.12643678160919539</v>
      </c>
      <c r="H121" s="173"/>
      <c r="I121" s="173"/>
      <c r="J121" s="173"/>
      <c r="K121" s="173"/>
      <c r="N121" s="174">
        <f>N124*N123*N122</f>
        <v>0</v>
      </c>
      <c r="O121" s="174">
        <f>O124*O123*O122</f>
        <v>0</v>
      </c>
      <c r="P121" s="174">
        <f>P124*P123*P122</f>
        <v>29.544235971535663</v>
      </c>
      <c r="Q121" s="174">
        <f>Q124*Q123*Q122</f>
        <v>78.668228610323325</v>
      </c>
      <c r="R121" s="174">
        <f>R124*R123*R122</f>
        <v>102.39535616290418</v>
      </c>
      <c r="S121" s="86" t="s">
        <v>444</v>
      </c>
    </row>
    <row r="122" spans="1:19">
      <c r="A122" s="62" t="s">
        <v>445</v>
      </c>
      <c r="B122" s="173" t="e">
        <f t="shared" ref="B122:G122" si="44">B116</f>
        <v>#DIV/0!</v>
      </c>
      <c r="C122" s="173" t="e">
        <f t="shared" si="44"/>
        <v>#DIV/0!</v>
      </c>
      <c r="D122" s="173" t="e">
        <f t="shared" si="44"/>
        <v>#DIV/0!</v>
      </c>
      <c r="E122" s="173">
        <f t="shared" si="44"/>
        <v>1.8267530936947555E-2</v>
      </c>
      <c r="F122" s="173">
        <f t="shared" si="44"/>
        <v>1.6890213611525089E-2</v>
      </c>
      <c r="G122" s="173">
        <f t="shared" si="44"/>
        <v>1.6332590942835932E-2</v>
      </c>
      <c r="H122" s="173"/>
      <c r="I122" s="173"/>
      <c r="J122" s="173"/>
      <c r="K122" s="173"/>
      <c r="N122" s="174">
        <f>L116</f>
        <v>0</v>
      </c>
      <c r="O122" s="174">
        <f>M116</f>
        <v>0</v>
      </c>
      <c r="P122" s="174">
        <f>N116</f>
        <v>0.11474526006196392</v>
      </c>
      <c r="Q122" s="174">
        <f>O116</f>
        <v>0.2727993553464092</v>
      </c>
      <c r="R122" s="174">
        <f>P116</f>
        <v>0.3170342676220117</v>
      </c>
      <c r="S122" s="170" t="s">
        <v>445</v>
      </c>
    </row>
    <row r="123" spans="1:19">
      <c r="A123" s="62" t="s">
        <v>446</v>
      </c>
      <c r="B123" s="176" t="e">
        <f t="shared" ref="B123:G123" si="45">B111</f>
        <v>#DIV/0!</v>
      </c>
      <c r="C123" s="176" t="e">
        <f t="shared" si="45"/>
        <v>#DIV/0!</v>
      </c>
      <c r="D123" s="176" t="e">
        <f t="shared" si="45"/>
        <v>#DIV/0!</v>
      </c>
      <c r="E123" s="176">
        <f t="shared" si="45"/>
        <v>2.8569023569023568</v>
      </c>
      <c r="F123" s="176">
        <f t="shared" si="45"/>
        <v>2.7350543478260869</v>
      </c>
      <c r="G123" s="176">
        <f t="shared" si="45"/>
        <v>2.887459807073955</v>
      </c>
      <c r="H123" s="176"/>
      <c r="I123" s="176"/>
      <c r="J123" s="176"/>
      <c r="K123" s="176"/>
      <c r="N123" s="176">
        <f>L111</f>
        <v>0</v>
      </c>
      <c r="O123" s="176">
        <f>M111</f>
        <v>0</v>
      </c>
      <c r="P123" s="176">
        <f>N111</f>
        <v>2.4709701641067379</v>
      </c>
      <c r="Q123" s="176">
        <f>O111</f>
        <v>2.4735031537027328</v>
      </c>
      <c r="R123" s="176">
        <f>P111</f>
        <v>2.5606384322494726</v>
      </c>
      <c r="S123" s="62" t="s">
        <v>446</v>
      </c>
    </row>
    <row r="124" spans="1:19">
      <c r="A124" s="62" t="s">
        <v>447</v>
      </c>
      <c r="B124" s="176" t="e">
        <f t="shared" ref="B124:G124" si="46">B62/(B87)</f>
        <v>#DIV/0!</v>
      </c>
      <c r="C124" s="176" t="e">
        <f t="shared" si="46"/>
        <v>#DIV/0!</v>
      </c>
      <c r="D124" s="176" t="e">
        <f t="shared" si="46"/>
        <v>#DIV/0!</v>
      </c>
      <c r="E124" s="176">
        <f t="shared" si="46"/>
        <v>2.2000000000000002</v>
      </c>
      <c r="F124" s="176">
        <f t="shared" si="46"/>
        <v>2.4210526315789473</v>
      </c>
      <c r="G124" s="176">
        <f t="shared" si="46"/>
        <v>2.6810344827586206</v>
      </c>
      <c r="H124" s="176"/>
      <c r="I124" s="176"/>
      <c r="J124" s="176"/>
      <c r="K124" s="176"/>
      <c r="N124" s="177">
        <f>L62/L71</f>
        <v>0</v>
      </c>
      <c r="O124" s="177">
        <f>M62/M71</f>
        <v>0</v>
      </c>
      <c r="P124" s="177">
        <f>N62/N71</f>
        <v>104.20066900286716</v>
      </c>
      <c r="Q124" s="177">
        <f>O62/O71</f>
        <v>116.58523784644794</v>
      </c>
      <c r="R124" s="177">
        <f>P62/P71</f>
        <v>126.13214885759801</v>
      </c>
      <c r="S124" s="170" t="s">
        <v>447</v>
      </c>
    </row>
    <row r="125" spans="1:19">
      <c r="A125" s="62" t="s">
        <v>448</v>
      </c>
      <c r="B125" s="173" t="e">
        <f t="shared" ref="B125:G125" si="47">B27/B87</f>
        <v>#DIV/0!</v>
      </c>
      <c r="C125" s="173" t="e">
        <f t="shared" si="47"/>
        <v>#DIV/0!</v>
      </c>
      <c r="D125" s="173" t="e">
        <f t="shared" si="47"/>
        <v>#DIV/0!</v>
      </c>
      <c r="E125" s="173">
        <f t="shared" si="47"/>
        <v>0.11481481481481481</v>
      </c>
      <c r="F125" s="173">
        <f t="shared" si="47"/>
        <v>0.1118421052631579</v>
      </c>
      <c r="G125" s="173">
        <f t="shared" si="47"/>
        <v>0.12643678160919541</v>
      </c>
      <c r="H125" s="173"/>
      <c r="I125" s="173"/>
      <c r="J125" s="173"/>
      <c r="K125" s="173"/>
      <c r="N125" s="174" t="e">
        <f>L27/L71</f>
        <v>#VALUE!</v>
      </c>
      <c r="O125" s="174" t="e">
        <f>M27/M71</f>
        <v>#VALUE!</v>
      </c>
      <c r="P125" s="174">
        <f>N27/N71</f>
        <v>29.544235971535667</v>
      </c>
      <c r="Q125" s="174">
        <f>O27/O71</f>
        <v>78.668228610323325</v>
      </c>
      <c r="R125" s="174">
        <f>P27/P71</f>
        <v>102.39535616290416</v>
      </c>
      <c r="S125" s="170" t="s">
        <v>448</v>
      </c>
    </row>
    <row r="127" spans="1:19">
      <c r="A127" s="97" t="s">
        <v>449</v>
      </c>
      <c r="S127" s="97" t="s">
        <v>449</v>
      </c>
    </row>
    <row r="128" spans="1:19">
      <c r="A128" t="s">
        <v>450</v>
      </c>
      <c r="B128" s="178" t="s">
        <v>451</v>
      </c>
      <c r="C128" s="179" t="e">
        <f>C8/B8-1</f>
        <v>#DIV/0!</v>
      </c>
      <c r="D128" s="179" t="e">
        <f>D8/C8-1</f>
        <v>#DIV/0!</v>
      </c>
      <c r="E128" s="179" t="e">
        <f>E8/D8-1</f>
        <v>#DIV/0!</v>
      </c>
      <c r="F128" s="179">
        <f>F8/E8-1</f>
        <v>0.18621096051856223</v>
      </c>
      <c r="G128" s="179">
        <f>G8/F8-1</f>
        <v>0.33830104321907606</v>
      </c>
      <c r="H128" s="179"/>
      <c r="I128" s="179"/>
      <c r="J128" s="179"/>
      <c r="K128" s="179"/>
      <c r="N128" s="179">
        <f>N8/F8-1</f>
        <v>0.10000000000000009</v>
      </c>
      <c r="O128" s="179">
        <f t="shared" ref="O128:R131" si="48">O8/N8-1</f>
        <v>0.12000000000000011</v>
      </c>
      <c r="P128" s="179">
        <f t="shared" si="48"/>
        <v>0.12000000000000011</v>
      </c>
      <c r="Q128" s="179">
        <f t="shared" si="48"/>
        <v>0.12000000000000011</v>
      </c>
      <c r="R128" s="179">
        <f t="shared" si="48"/>
        <v>8.0000000000000071E-2</v>
      </c>
      <c r="S128" t="s">
        <v>450</v>
      </c>
    </row>
    <row r="129" spans="1:19">
      <c r="A129" t="s">
        <v>317</v>
      </c>
      <c r="B129" s="178" t="str">
        <f>B128</f>
        <v>NA</v>
      </c>
      <c r="C129" s="179" t="e">
        <f>C10/B10-1</f>
        <v>#DIV/0!</v>
      </c>
      <c r="D129" s="179" t="e">
        <f>D10/C10-1</f>
        <v>#DIV/0!</v>
      </c>
      <c r="E129" s="179" t="e">
        <f>E10/D10-1</f>
        <v>#DIV/0!</v>
      </c>
      <c r="F129" s="179">
        <f>F10/E10-1</f>
        <v>0.2126315789473685</v>
      </c>
      <c r="G129" s="179">
        <f>G10/F10-1</f>
        <v>0.29166666666666674</v>
      </c>
      <c r="H129" s="179"/>
      <c r="I129" s="179"/>
      <c r="J129" s="179"/>
      <c r="K129" s="179"/>
      <c r="N129" s="179">
        <f>N9/F9-1</f>
        <v>-2.0170062630480166</v>
      </c>
      <c r="O129" s="179">
        <f t="shared" si="48"/>
        <v>0.13696969696969719</v>
      </c>
      <c r="P129" s="179">
        <f t="shared" si="48"/>
        <v>6.985074626865706E-2</v>
      </c>
      <c r="Q129" s="179">
        <f t="shared" si="48"/>
        <v>0.10250000000000004</v>
      </c>
      <c r="R129" s="179">
        <f t="shared" si="48"/>
        <v>8.0000000000000071E-2</v>
      </c>
      <c r="S129" t="s">
        <v>317</v>
      </c>
    </row>
    <row r="130" spans="1:19">
      <c r="A130" t="s">
        <v>304</v>
      </c>
      <c r="B130" s="178" t="str">
        <f>B129</f>
        <v>NA</v>
      </c>
      <c r="C130" s="179" t="e">
        <f>C18/B18-1</f>
        <v>#DIV/0!</v>
      </c>
      <c r="D130" s="179" t="e">
        <f>D18/C18-1</f>
        <v>#DIV/0!</v>
      </c>
      <c r="E130" s="179" t="e">
        <f>E18/D18-1</f>
        <v>#DIV/0!</v>
      </c>
      <c r="F130" s="179">
        <f>F18/E18-1</f>
        <v>0.21999999999999997</v>
      </c>
      <c r="G130" s="179">
        <f>G18/F18-1</f>
        <v>0.4098360655737705</v>
      </c>
      <c r="H130" s="179"/>
      <c r="I130" s="179"/>
      <c r="J130" s="179"/>
      <c r="K130" s="179"/>
      <c r="N130" s="179">
        <f>N10/F10-1</f>
        <v>0.30705208333333345</v>
      </c>
      <c r="O130" s="179">
        <f t="shared" si="48"/>
        <v>8.7058823529411855E-2</v>
      </c>
      <c r="P130" s="179">
        <f t="shared" si="48"/>
        <v>0.22181818181818191</v>
      </c>
      <c r="Q130" s="179">
        <f t="shared" si="48"/>
        <v>0.15111111111111142</v>
      </c>
      <c r="R130" s="179">
        <f t="shared" si="48"/>
        <v>7.9999999999999849E-2</v>
      </c>
      <c r="S130" t="s">
        <v>304</v>
      </c>
    </row>
    <row r="131" spans="1:19">
      <c r="A131" t="s">
        <v>137</v>
      </c>
      <c r="B131" s="178" t="str">
        <f>B130</f>
        <v>NA</v>
      </c>
      <c r="C131" s="179" t="e">
        <f>C62/B62-1</f>
        <v>#DIV/0!</v>
      </c>
      <c r="D131" s="179" t="e">
        <f>D62/C62-1</f>
        <v>#DIV/0!</v>
      </c>
      <c r="E131" s="179" t="e">
        <f>E62/D62-1</f>
        <v>#DIV/0!</v>
      </c>
      <c r="F131" s="179">
        <f>F62/E62-1</f>
        <v>0.23905723905723897</v>
      </c>
      <c r="G131" s="179">
        <f>G62/F62-1</f>
        <v>0.26766304347826098</v>
      </c>
      <c r="H131" s="179"/>
      <c r="I131" s="179"/>
      <c r="J131" s="179"/>
      <c r="K131" s="179"/>
      <c r="N131" s="179" t="e">
        <f>N11/F11-1</f>
        <v>#VALUE!</v>
      </c>
      <c r="O131" s="179" t="e">
        <f t="shared" si="48"/>
        <v>#VALUE!</v>
      </c>
      <c r="P131" s="179" t="e">
        <f t="shared" si="48"/>
        <v>#VALUE!</v>
      </c>
      <c r="Q131" s="179" t="e">
        <f t="shared" si="48"/>
        <v>#VALUE!</v>
      </c>
      <c r="R131" s="179" t="e">
        <f t="shared" si="48"/>
        <v>#VALUE!</v>
      </c>
      <c r="S131" t="s">
        <v>137</v>
      </c>
    </row>
    <row r="133" spans="1:19">
      <c r="I133" s="170" t="s">
        <v>452</v>
      </c>
    </row>
    <row r="134" spans="1:19">
      <c r="D134" s="170"/>
      <c r="I134" s="170" t="s">
        <v>331</v>
      </c>
    </row>
    <row r="135" spans="1:19">
      <c r="D135" s="170"/>
      <c r="I135" s="170" t="s">
        <v>332</v>
      </c>
    </row>
    <row r="136" spans="1:19">
      <c r="A136" s="170"/>
      <c r="B136" s="170"/>
      <c r="C136" s="170"/>
      <c r="D136" s="170"/>
      <c r="I136" s="170" t="s">
        <v>214</v>
      </c>
    </row>
    <row r="137" spans="1:19">
      <c r="A137" s="170"/>
      <c r="B137" s="170"/>
      <c r="C137" s="170"/>
      <c r="D137" s="170"/>
      <c r="I137" s="170" t="s">
        <v>280</v>
      </c>
    </row>
    <row r="138" spans="1:19">
      <c r="A138" s="170"/>
      <c r="B138" s="170"/>
      <c r="C138" s="170"/>
      <c r="D138" s="170"/>
      <c r="I138" s="170" t="s">
        <v>281</v>
      </c>
    </row>
    <row r="139" spans="1:19">
      <c r="A139" s="170"/>
      <c r="B139" s="170"/>
      <c r="C139" s="170"/>
      <c r="I139" s="170" t="s">
        <v>282</v>
      </c>
    </row>
  </sheetData>
  <phoneticPr fontId="8" type="noConversion"/>
  <printOptions headings="1" gridLines="1"/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127"/>
  <sheetViews>
    <sheetView topLeftCell="D38" workbookViewId="0"/>
  </sheetViews>
  <sheetFormatPr baseColWidth="10" defaultColWidth="8.83203125" defaultRowHeight="14" x14ac:dyDescent="0"/>
  <cols>
    <col min="1" max="1" width="44.5" customWidth="1"/>
    <col min="2" max="2" width="19.1640625" customWidth="1"/>
    <col min="3" max="3" width="12.6640625" customWidth="1"/>
    <col min="4" max="5" width="11.33203125" customWidth="1"/>
    <col min="6" max="6" width="12.5" customWidth="1"/>
    <col min="7" max="7" width="12.6640625" customWidth="1"/>
  </cols>
  <sheetData>
    <row r="1" spans="1:10">
      <c r="A1" s="86" t="s">
        <v>106</v>
      </c>
      <c r="B1" s="85" t="s">
        <v>258</v>
      </c>
    </row>
    <row r="2" spans="1:10" ht="18">
      <c r="A2" s="84" t="s">
        <v>264</v>
      </c>
      <c r="B2" s="83">
        <v>2004</v>
      </c>
      <c r="C2" s="83">
        <v>2004</v>
      </c>
      <c r="D2" s="83">
        <v>2005</v>
      </c>
      <c r="E2" s="82">
        <v>2006</v>
      </c>
      <c r="F2" s="82">
        <v>2007</v>
      </c>
      <c r="G2" s="82">
        <v>2008</v>
      </c>
    </row>
    <row r="3" spans="1:10" ht="18">
      <c r="A3" s="81" t="s">
        <v>257</v>
      </c>
      <c r="B3" s="80">
        <v>2694</v>
      </c>
      <c r="C3" s="79" t="s">
        <v>106</v>
      </c>
      <c r="D3" s="79"/>
      <c r="E3" s="78"/>
      <c r="F3" s="78"/>
      <c r="G3" s="78"/>
    </row>
    <row r="4" spans="1:10" ht="18">
      <c r="A4" s="81" t="s">
        <v>256</v>
      </c>
      <c r="B4" s="80"/>
      <c r="C4" s="217">
        <v>0</v>
      </c>
      <c r="D4" s="218">
        <v>0</v>
      </c>
      <c r="E4" s="219">
        <v>0</v>
      </c>
      <c r="F4" s="219">
        <v>0</v>
      </c>
      <c r="G4" s="219">
        <v>0</v>
      </c>
    </row>
    <row r="5" spans="1:10" ht="18">
      <c r="A5" s="81" t="s">
        <v>255</v>
      </c>
      <c r="B5" s="80"/>
      <c r="C5" s="217">
        <v>0</v>
      </c>
      <c r="D5" s="217">
        <v>0</v>
      </c>
      <c r="E5" s="217">
        <v>0</v>
      </c>
      <c r="F5" s="217">
        <v>0</v>
      </c>
      <c r="G5" s="217">
        <v>0</v>
      </c>
    </row>
    <row r="6" spans="1:10" ht="18">
      <c r="A6" s="81" t="s">
        <v>254</v>
      </c>
      <c r="B6" s="80"/>
      <c r="C6" s="220">
        <v>0</v>
      </c>
      <c r="D6" s="220">
        <v>0</v>
      </c>
      <c r="E6" s="220">
        <v>0</v>
      </c>
      <c r="F6" s="220">
        <v>0</v>
      </c>
      <c r="G6" s="220">
        <v>0</v>
      </c>
    </row>
    <row r="7" spans="1:10" ht="18">
      <c r="A7" s="81" t="s">
        <v>262</v>
      </c>
      <c r="B7" s="80" t="s">
        <v>106</v>
      </c>
      <c r="C7" s="222">
        <v>50</v>
      </c>
      <c r="D7" s="222">
        <v>43</v>
      </c>
      <c r="E7" s="222">
        <v>37</v>
      </c>
      <c r="F7" s="222">
        <v>30</v>
      </c>
      <c r="G7" s="222">
        <v>23</v>
      </c>
    </row>
    <row r="8" spans="1:10" ht="18">
      <c r="A8" s="81" t="s">
        <v>253</v>
      </c>
      <c r="B8" s="80" t="s">
        <v>106</v>
      </c>
      <c r="C8" s="222">
        <v>7</v>
      </c>
      <c r="D8" s="222">
        <v>7</v>
      </c>
      <c r="E8" s="222">
        <v>7</v>
      </c>
      <c r="F8" s="222">
        <v>7</v>
      </c>
      <c r="G8" s="222">
        <v>7</v>
      </c>
    </row>
    <row r="9" spans="1:10" ht="18">
      <c r="A9" s="81" t="s">
        <v>252</v>
      </c>
      <c r="B9" s="80" t="s">
        <v>106</v>
      </c>
      <c r="C9" s="221">
        <v>0</v>
      </c>
      <c r="D9" s="221">
        <v>0</v>
      </c>
      <c r="E9" s="221">
        <v>0</v>
      </c>
      <c r="F9" s="221">
        <v>0</v>
      </c>
      <c r="G9" s="221">
        <v>0</v>
      </c>
    </row>
    <row r="10" spans="1:10" ht="18">
      <c r="A10" s="81" t="s">
        <v>203</v>
      </c>
      <c r="B10" s="80"/>
      <c r="C10" s="221">
        <v>0.35</v>
      </c>
      <c r="D10" s="221">
        <v>0.35</v>
      </c>
      <c r="E10" s="221">
        <v>0.35</v>
      </c>
      <c r="F10" s="221">
        <v>0.35</v>
      </c>
      <c r="G10" s="221">
        <v>0.35</v>
      </c>
    </row>
    <row r="11" spans="1:10" ht="18">
      <c r="A11" s="81" t="s">
        <v>202</v>
      </c>
      <c r="B11" s="80"/>
      <c r="C11" s="221">
        <v>0</v>
      </c>
      <c r="D11" s="221">
        <v>0</v>
      </c>
      <c r="E11" s="221">
        <v>0</v>
      </c>
      <c r="F11" s="221">
        <v>0</v>
      </c>
      <c r="G11" s="221">
        <v>0</v>
      </c>
    </row>
    <row r="12" spans="1:10" ht="18">
      <c r="A12" s="81" t="s">
        <v>330</v>
      </c>
      <c r="B12" s="80"/>
      <c r="C12" s="221">
        <v>0</v>
      </c>
      <c r="D12" s="221">
        <v>0</v>
      </c>
      <c r="E12" s="221">
        <v>0</v>
      </c>
      <c r="F12" s="221">
        <v>0</v>
      </c>
      <c r="G12" s="221">
        <v>0</v>
      </c>
    </row>
    <row r="13" spans="1:10" ht="18">
      <c r="A13" s="81" t="s">
        <v>139</v>
      </c>
      <c r="B13" s="80"/>
      <c r="C13" s="222">
        <v>157</v>
      </c>
      <c r="D13" s="222">
        <v>160</v>
      </c>
      <c r="E13" s="222">
        <v>163</v>
      </c>
      <c r="F13" s="222">
        <v>166</v>
      </c>
      <c r="G13" s="222">
        <v>168</v>
      </c>
      <c r="J13" t="s">
        <v>106</v>
      </c>
    </row>
    <row r="14" spans="1:10" ht="18">
      <c r="A14" s="81" t="s">
        <v>329</v>
      </c>
      <c r="B14" s="80"/>
      <c r="C14" s="221">
        <v>0</v>
      </c>
      <c r="D14" s="221">
        <v>0</v>
      </c>
      <c r="E14" s="221">
        <v>0</v>
      </c>
      <c r="F14" s="221">
        <v>0</v>
      </c>
      <c r="G14" s="221">
        <v>0</v>
      </c>
    </row>
    <row r="15" spans="1:10" ht="18">
      <c r="A15" s="81" t="s">
        <v>328</v>
      </c>
      <c r="B15" s="80">
        <v>348</v>
      </c>
      <c r="C15" s="79"/>
      <c r="D15" s="79"/>
      <c r="E15" s="78"/>
      <c r="F15" s="78"/>
      <c r="G15" s="78"/>
    </row>
    <row r="16" spans="1:10" ht="18">
      <c r="A16" s="81"/>
      <c r="B16" s="80"/>
      <c r="C16" s="79"/>
      <c r="D16" s="79"/>
      <c r="E16" s="78"/>
      <c r="F16" s="78"/>
      <c r="G16" s="78"/>
    </row>
    <row r="17" spans="1:10" ht="18">
      <c r="A17" s="71" t="s">
        <v>237</v>
      </c>
      <c r="B17" s="66"/>
      <c r="C17" s="66"/>
      <c r="D17" s="66"/>
      <c r="E17" s="66"/>
      <c r="F17" s="66"/>
      <c r="G17" s="66"/>
    </row>
    <row r="18" spans="1:10" ht="18">
      <c r="A18" s="66"/>
      <c r="B18" s="77" t="s">
        <v>327</v>
      </c>
      <c r="C18" s="77" t="s">
        <v>326</v>
      </c>
      <c r="D18" s="76" t="s">
        <v>106</v>
      </c>
      <c r="E18" s="66"/>
      <c r="F18" s="66"/>
      <c r="G18" s="66"/>
    </row>
    <row r="19" spans="1:10" ht="18">
      <c r="A19" s="75" t="s">
        <v>264</v>
      </c>
      <c r="B19" s="74">
        <f>C2</f>
        <v>2004</v>
      </c>
      <c r="C19" s="74">
        <v>2004</v>
      </c>
      <c r="D19" s="74">
        <f>D2</f>
        <v>2005</v>
      </c>
      <c r="E19" s="74">
        <f>E2</f>
        <v>2006</v>
      </c>
      <c r="F19" s="74">
        <f>F2</f>
        <v>2007</v>
      </c>
      <c r="G19" s="74">
        <f>G2</f>
        <v>2008</v>
      </c>
    </row>
    <row r="20" spans="1:10" ht="18">
      <c r="A20" s="65" t="s">
        <v>325</v>
      </c>
      <c r="B20" s="64" t="s">
        <v>111</v>
      </c>
      <c r="C20" s="73">
        <f>B3*(1+C4)</f>
        <v>2694</v>
      </c>
      <c r="D20" s="73">
        <f>C20*(1+D4)</f>
        <v>2694</v>
      </c>
      <c r="E20" s="73">
        <f>D20*(1+E4)</f>
        <v>2694</v>
      </c>
      <c r="F20" s="73">
        <f>E20*(1+F4)</f>
        <v>2694</v>
      </c>
      <c r="G20" s="73">
        <f>F20*(1+G4)</f>
        <v>2694</v>
      </c>
    </row>
    <row r="21" spans="1:10" ht="18">
      <c r="A21" s="65" t="s">
        <v>324</v>
      </c>
      <c r="B21" s="69" t="s">
        <v>112</v>
      </c>
      <c r="C21" s="68">
        <f>C5*C20</f>
        <v>0</v>
      </c>
      <c r="D21" s="68">
        <f>D5*D20</f>
        <v>0</v>
      </c>
      <c r="E21" s="68">
        <f>E5*E20</f>
        <v>0</v>
      </c>
      <c r="F21" s="68">
        <f>F5*F20</f>
        <v>0</v>
      </c>
      <c r="G21" s="68">
        <f>G5*G20</f>
        <v>0</v>
      </c>
    </row>
    <row r="22" spans="1:10" ht="18">
      <c r="A22" s="65" t="s">
        <v>317</v>
      </c>
      <c r="B22" s="64" t="s">
        <v>113</v>
      </c>
      <c r="C22" s="67">
        <f>C20-C21</f>
        <v>2694</v>
      </c>
      <c r="D22" s="67">
        <f>D20-D21</f>
        <v>2694</v>
      </c>
      <c r="E22" s="67">
        <f>E20-E21</f>
        <v>2694</v>
      </c>
      <c r="F22" s="67">
        <f>F20-F21</f>
        <v>2694</v>
      </c>
      <c r="G22" s="67">
        <f>G20-G21</f>
        <v>2694</v>
      </c>
    </row>
    <row r="23" spans="1:10" ht="18">
      <c r="A23" s="65" t="s">
        <v>148</v>
      </c>
      <c r="B23" s="64" t="s">
        <v>114</v>
      </c>
      <c r="C23" s="67">
        <f>C6*C20</f>
        <v>0</v>
      </c>
      <c r="D23" s="67">
        <f>D6*D20</f>
        <v>0</v>
      </c>
      <c r="E23" s="67">
        <f>E6*E20</f>
        <v>0</v>
      </c>
      <c r="F23" s="67">
        <f>F6*F20</f>
        <v>0</v>
      </c>
      <c r="G23" s="67">
        <f>G6*G20</f>
        <v>0</v>
      </c>
    </row>
    <row r="24" spans="1:10" ht="18">
      <c r="A24" s="65" t="s">
        <v>175</v>
      </c>
      <c r="B24" s="69" t="s">
        <v>115</v>
      </c>
      <c r="C24" s="68">
        <f>C22-C23</f>
        <v>2694</v>
      </c>
      <c r="D24" s="68">
        <f>D22-D23</f>
        <v>2694</v>
      </c>
      <c r="E24" s="68">
        <f>E22-E23</f>
        <v>2694</v>
      </c>
      <c r="F24" s="68">
        <f>F22-F23</f>
        <v>2694</v>
      </c>
      <c r="G24" s="68">
        <f>G22-G23</f>
        <v>2694</v>
      </c>
    </row>
    <row r="25" spans="1:10" ht="18">
      <c r="A25" s="65" t="s">
        <v>301</v>
      </c>
      <c r="B25" s="69" t="s">
        <v>199</v>
      </c>
      <c r="C25" s="72">
        <f>(C7+C8)*C9</f>
        <v>0</v>
      </c>
      <c r="D25" s="72">
        <f>(D7+D8)*D9</f>
        <v>0</v>
      </c>
      <c r="E25" s="72">
        <f>(E7+E8)*E9</f>
        <v>0</v>
      </c>
      <c r="F25" s="72">
        <f>(F7+F8)*F9</f>
        <v>0</v>
      </c>
      <c r="G25" s="72">
        <f>(G7+G8)*G9</f>
        <v>0</v>
      </c>
    </row>
    <row r="26" spans="1:10" ht="18">
      <c r="A26" s="65" t="s">
        <v>147</v>
      </c>
      <c r="B26" s="64" t="s">
        <v>144</v>
      </c>
      <c r="C26" s="67">
        <f>C22-C23-C25</f>
        <v>2694</v>
      </c>
      <c r="D26" s="67">
        <f>D22-D23-D25</f>
        <v>2694</v>
      </c>
      <c r="E26" s="67">
        <f>E22-E23-E25</f>
        <v>2694</v>
      </c>
      <c r="F26" s="67">
        <f>F22-F23-F25</f>
        <v>2694</v>
      </c>
      <c r="G26" s="67">
        <f>G22-G23-G25</f>
        <v>2694</v>
      </c>
    </row>
    <row r="27" spans="1:10" ht="18">
      <c r="A27" s="65" t="s">
        <v>146</v>
      </c>
      <c r="B27" s="69" t="s">
        <v>116</v>
      </c>
      <c r="C27" s="68">
        <f>C10*C26</f>
        <v>942.9</v>
      </c>
      <c r="D27" s="68">
        <f>D10*D26</f>
        <v>942.9</v>
      </c>
      <c r="E27" s="68">
        <f>E10*E26</f>
        <v>942.9</v>
      </c>
      <c r="F27" s="68">
        <f>F10*F26</f>
        <v>942.9</v>
      </c>
      <c r="G27" s="68">
        <f>G10*G26</f>
        <v>942.9</v>
      </c>
    </row>
    <row r="28" spans="1:10" ht="18">
      <c r="A28" s="65" t="s">
        <v>145</v>
      </c>
      <c r="B28" s="64" t="s">
        <v>141</v>
      </c>
      <c r="C28" s="67">
        <f>C26-C27</f>
        <v>1751.1</v>
      </c>
      <c r="D28" s="67">
        <f>D26-D27</f>
        <v>1751.1</v>
      </c>
      <c r="E28" s="67">
        <f>E26-E27</f>
        <v>1751.1</v>
      </c>
      <c r="F28" s="67">
        <f>F26-F27</f>
        <v>1751.1</v>
      </c>
      <c r="G28" s="67">
        <f>G26-G27</f>
        <v>1751.1</v>
      </c>
      <c r="J28" t="s">
        <v>106</v>
      </c>
    </row>
    <row r="29" spans="1:10" ht="18">
      <c r="A29" s="65" t="s">
        <v>143</v>
      </c>
      <c r="B29" s="69" t="s">
        <v>117</v>
      </c>
      <c r="C29" s="68">
        <f>C11*C28</f>
        <v>0</v>
      </c>
      <c r="D29" s="68">
        <f>D11*D28</f>
        <v>0</v>
      </c>
      <c r="E29" s="68">
        <f>E11*E28</f>
        <v>0</v>
      </c>
      <c r="F29" s="68">
        <f>F11*F28</f>
        <v>0</v>
      </c>
      <c r="G29" s="68">
        <f>G11*G28</f>
        <v>0</v>
      </c>
    </row>
    <row r="30" spans="1:10" ht="18">
      <c r="A30" s="65" t="s">
        <v>142</v>
      </c>
      <c r="B30" s="64" t="s">
        <v>118</v>
      </c>
      <c r="C30" s="67">
        <f>C28-C29</f>
        <v>1751.1</v>
      </c>
      <c r="D30" s="67">
        <f>D28-D29</f>
        <v>1751.1</v>
      </c>
      <c r="E30" s="67">
        <f>E28-E29</f>
        <v>1751.1</v>
      </c>
      <c r="F30" s="67">
        <f>F28-F29</f>
        <v>1751.1</v>
      </c>
      <c r="G30" s="67">
        <f>G28-G29</f>
        <v>1751.1</v>
      </c>
    </row>
    <row r="31" spans="1:10" ht="18">
      <c r="A31" s="66"/>
      <c r="B31" s="66"/>
      <c r="C31" s="70"/>
      <c r="D31" s="70"/>
      <c r="E31" s="70"/>
      <c r="F31" s="70"/>
      <c r="G31" s="70"/>
    </row>
    <row r="32" spans="1:10" ht="18">
      <c r="A32" s="71" t="s">
        <v>140</v>
      </c>
      <c r="B32" s="66"/>
      <c r="C32" s="70"/>
      <c r="D32" s="70"/>
      <c r="E32" s="70"/>
      <c r="F32" s="70"/>
      <c r="G32" s="70"/>
    </row>
    <row r="33" spans="1:11" ht="18">
      <c r="A33" s="65" t="s">
        <v>320</v>
      </c>
      <c r="B33" s="64" t="s">
        <v>119</v>
      </c>
      <c r="C33" s="67">
        <f>C12*C20</f>
        <v>0</v>
      </c>
      <c r="D33" s="67">
        <f>D12*D20</f>
        <v>0</v>
      </c>
      <c r="E33" s="67">
        <f>E12*E20</f>
        <v>0</v>
      </c>
      <c r="F33" s="67">
        <f>F12*F20</f>
        <v>0</v>
      </c>
      <c r="G33" s="67">
        <f>G12*G20</f>
        <v>0</v>
      </c>
    </row>
    <row r="34" spans="1:11" ht="18">
      <c r="A34" s="65" t="s">
        <v>139</v>
      </c>
      <c r="B34" s="69" t="s">
        <v>138</v>
      </c>
      <c r="C34" s="68">
        <f>C13</f>
        <v>157</v>
      </c>
      <c r="D34" s="68">
        <f>D13</f>
        <v>160</v>
      </c>
      <c r="E34" s="68">
        <f>E13</f>
        <v>163</v>
      </c>
      <c r="F34" s="68">
        <f>F13</f>
        <v>166</v>
      </c>
      <c r="G34" s="68">
        <f>G13</f>
        <v>168</v>
      </c>
    </row>
    <row r="35" spans="1:11" ht="18">
      <c r="A35" s="65" t="s">
        <v>137</v>
      </c>
      <c r="B35" s="64" t="s">
        <v>120</v>
      </c>
      <c r="C35" s="67">
        <f>C33+C34</f>
        <v>157</v>
      </c>
      <c r="D35" s="67">
        <f>D33+D34</f>
        <v>160</v>
      </c>
      <c r="E35" s="67">
        <f>E33+E34</f>
        <v>163</v>
      </c>
      <c r="F35" s="67">
        <f>F33+F34</f>
        <v>166</v>
      </c>
      <c r="G35" s="67">
        <f>G33+G34</f>
        <v>168</v>
      </c>
    </row>
    <row r="36" spans="1:11" ht="18">
      <c r="A36" s="65"/>
      <c r="B36" s="66"/>
      <c r="C36" s="70"/>
      <c r="D36" s="70"/>
      <c r="E36" s="70"/>
      <c r="F36" s="70"/>
      <c r="G36" s="70"/>
    </row>
    <row r="37" spans="1:11" ht="18">
      <c r="A37" s="65" t="s">
        <v>319</v>
      </c>
      <c r="B37" s="64" t="s">
        <v>121</v>
      </c>
      <c r="C37" s="67">
        <f>C14*C20</f>
        <v>0</v>
      </c>
      <c r="D37" s="67">
        <f>D14*D20</f>
        <v>0</v>
      </c>
      <c r="E37" s="67">
        <f>E14*E20</f>
        <v>0</v>
      </c>
      <c r="F37" s="67">
        <f>F14*F20</f>
        <v>0</v>
      </c>
      <c r="G37" s="67">
        <f>G14*G20</f>
        <v>0</v>
      </c>
    </row>
    <row r="38" spans="1:11" ht="18">
      <c r="A38" s="65" t="s">
        <v>262</v>
      </c>
      <c r="B38" s="64" t="s">
        <v>136</v>
      </c>
      <c r="C38" s="67">
        <f>C7</f>
        <v>50</v>
      </c>
      <c r="D38" s="67">
        <v>43</v>
      </c>
      <c r="E38" s="67">
        <v>37</v>
      </c>
      <c r="F38" s="67">
        <v>30</v>
      </c>
      <c r="G38" s="67">
        <v>22</v>
      </c>
    </row>
    <row r="39" spans="1:11" ht="18">
      <c r="A39" s="65" t="s">
        <v>135</v>
      </c>
      <c r="B39" s="69" t="s">
        <v>122</v>
      </c>
      <c r="C39" s="68">
        <f>B15+C30</f>
        <v>2099.1</v>
      </c>
      <c r="D39" s="68">
        <f>C39+D30</f>
        <v>3850.2</v>
      </c>
      <c r="E39" s="68">
        <f>D39+E30</f>
        <v>5601.2999999999993</v>
      </c>
      <c r="F39" s="68">
        <f>E39+F30</f>
        <v>7352.4</v>
      </c>
      <c r="G39" s="68">
        <f>F39+G30</f>
        <v>9103.5</v>
      </c>
    </row>
    <row r="40" spans="1:11" ht="18">
      <c r="A40" s="65" t="s">
        <v>134</v>
      </c>
      <c r="B40" s="64" t="s">
        <v>123</v>
      </c>
      <c r="C40" s="67">
        <f>C37+C38+C39</f>
        <v>2149.1</v>
      </c>
      <c r="D40" s="67">
        <f>D37+D38+D39</f>
        <v>3893.2</v>
      </c>
      <c r="E40" s="67">
        <f>E37+E38+E39</f>
        <v>5638.2999999999993</v>
      </c>
      <c r="F40" s="67">
        <f>F37+F38+F39</f>
        <v>7382.4</v>
      </c>
      <c r="G40" s="67">
        <f>G37+G38+G39</f>
        <v>9125.5</v>
      </c>
    </row>
    <row r="41" spans="1:11" ht="18">
      <c r="A41" s="65" t="s">
        <v>133</v>
      </c>
      <c r="B41" s="66"/>
      <c r="C41" s="66"/>
      <c r="D41" s="66"/>
      <c r="E41" s="66"/>
      <c r="F41" s="66"/>
      <c r="G41" s="66"/>
    </row>
    <row r="42" spans="1:11" ht="18">
      <c r="A42" s="65" t="s">
        <v>265</v>
      </c>
      <c r="B42" s="64" t="s">
        <v>124</v>
      </c>
      <c r="C42" s="63">
        <f>C35-C40</f>
        <v>-1992.1</v>
      </c>
      <c r="D42" s="63">
        <f>D35-D40</f>
        <v>-3733.2</v>
      </c>
      <c r="E42" s="63">
        <f>E35-E40</f>
        <v>-5475.2999999999993</v>
      </c>
      <c r="F42" s="63">
        <f>F35-F40</f>
        <v>-7216.4</v>
      </c>
      <c r="G42" s="63">
        <f>G35-G40</f>
        <v>-8957.5</v>
      </c>
    </row>
    <row r="46" spans="1:11" ht="15" thickBot="1">
      <c r="A46" s="1" t="s">
        <v>334</v>
      </c>
    </row>
    <row r="47" spans="1:11" ht="17">
      <c r="A47" s="251" t="s">
        <v>200</v>
      </c>
      <c r="B47" s="252"/>
      <c r="C47" s="252"/>
      <c r="D47" s="252"/>
      <c r="E47" s="253"/>
      <c r="F47" s="253"/>
      <c r="G47" s="253"/>
      <c r="H47" s="253"/>
      <c r="I47" s="253"/>
      <c r="J47" s="254"/>
      <c r="K47" s="255"/>
    </row>
    <row r="48" spans="1:11" ht="15">
      <c r="A48" s="229" t="s">
        <v>201</v>
      </c>
      <c r="B48" s="244"/>
      <c r="C48" s="244"/>
      <c r="D48" s="244"/>
      <c r="E48" s="256"/>
      <c r="F48" s="256"/>
      <c r="G48" s="256"/>
      <c r="H48" s="256"/>
      <c r="I48" s="256"/>
      <c r="J48" s="257"/>
      <c r="K48" s="258"/>
    </row>
    <row r="49" spans="1:11" ht="15">
      <c r="A49" s="229" t="s">
        <v>77</v>
      </c>
      <c r="B49" s="244"/>
      <c r="C49" s="244">
        <v>2694</v>
      </c>
      <c r="D49" s="244"/>
      <c r="E49" s="256"/>
      <c r="F49" s="256"/>
      <c r="G49" s="256"/>
      <c r="H49" s="256"/>
      <c r="I49" s="256"/>
      <c r="J49" s="257"/>
      <c r="K49" s="258"/>
    </row>
    <row r="50" spans="1:11" ht="16" thickBot="1">
      <c r="A50" s="229" t="s">
        <v>78</v>
      </c>
      <c r="B50" s="180"/>
      <c r="C50" s="259">
        <f>0.016</f>
        <v>1.6E-2</v>
      </c>
      <c r="D50" s="244"/>
      <c r="E50" s="256"/>
      <c r="F50" s="256"/>
      <c r="G50" s="256"/>
      <c r="H50" s="256"/>
      <c r="I50" s="256"/>
      <c r="J50" s="257"/>
      <c r="K50" s="258"/>
    </row>
    <row r="51" spans="1:11" ht="22" thickBot="1">
      <c r="A51" s="223" t="s">
        <v>79</v>
      </c>
      <c r="B51" s="224"/>
      <c r="C51" s="224"/>
      <c r="D51" s="225"/>
      <c r="E51" s="226"/>
      <c r="F51" s="224" t="s">
        <v>80</v>
      </c>
      <c r="G51" s="227"/>
      <c r="H51" s="227"/>
      <c r="I51" s="228"/>
      <c r="J51" s="257"/>
      <c r="K51" s="258"/>
    </row>
    <row r="52" spans="1:11" ht="15">
      <c r="A52" s="229"/>
      <c r="B52" s="230"/>
      <c r="C52" s="231"/>
      <c r="D52" s="232" t="s">
        <v>81</v>
      </c>
      <c r="E52" s="233"/>
      <c r="F52" s="231"/>
      <c r="G52" s="231"/>
      <c r="H52" s="231"/>
      <c r="I52" s="234" t="s">
        <v>81</v>
      </c>
      <c r="J52" s="257"/>
      <c r="K52" s="258"/>
    </row>
    <row r="53" spans="1:11" ht="15">
      <c r="A53" s="229" t="s">
        <v>82</v>
      </c>
      <c r="B53" s="230"/>
      <c r="C53" s="230"/>
      <c r="D53" s="235"/>
      <c r="E53" s="236"/>
      <c r="F53" s="230" t="s">
        <v>83</v>
      </c>
      <c r="G53" s="230"/>
      <c r="H53" s="230"/>
      <c r="I53" s="237"/>
      <c r="J53" s="257"/>
      <c r="K53" s="258"/>
    </row>
    <row r="54" spans="1:11" ht="15">
      <c r="A54" s="229"/>
      <c r="B54" s="230" t="s">
        <v>84</v>
      </c>
      <c r="C54" s="235">
        <v>317</v>
      </c>
      <c r="D54" s="230"/>
      <c r="E54" s="236"/>
      <c r="F54" s="230"/>
      <c r="G54" s="230" t="s">
        <v>85</v>
      </c>
      <c r="H54" s="230">
        <v>256</v>
      </c>
      <c r="I54" s="237"/>
      <c r="J54" s="257"/>
      <c r="K54" s="258"/>
    </row>
    <row r="55" spans="1:11" ht="15">
      <c r="A55" s="229"/>
      <c r="B55" s="238" t="s">
        <v>86</v>
      </c>
      <c r="C55" s="239">
        <v>418</v>
      </c>
      <c r="D55" s="239"/>
      <c r="E55" s="236"/>
      <c r="F55" s="230"/>
      <c r="G55" s="238" t="s">
        <v>87</v>
      </c>
      <c r="H55" s="238">
        <v>39</v>
      </c>
      <c r="I55" s="240"/>
      <c r="J55" s="257"/>
      <c r="K55" s="258"/>
    </row>
    <row r="56" spans="1:11" ht="15">
      <c r="A56" s="229" t="s">
        <v>88</v>
      </c>
      <c r="B56" s="230"/>
      <c r="C56" s="230"/>
      <c r="D56" s="241">
        <f>((C54+C55)/C49)*100</f>
        <v>27.282850779510021</v>
      </c>
      <c r="E56" s="236"/>
      <c r="F56" s="230" t="s">
        <v>89</v>
      </c>
      <c r="G56" s="230"/>
      <c r="H56" s="230"/>
      <c r="I56" s="242">
        <f>((H54+H55)/2694)*100</f>
        <v>10.950259836674091</v>
      </c>
      <c r="J56" s="257"/>
      <c r="K56" s="258"/>
    </row>
    <row r="57" spans="1:11" ht="15">
      <c r="A57" s="229"/>
      <c r="B57" s="230"/>
      <c r="C57" s="230"/>
      <c r="D57" s="235"/>
      <c r="E57" s="236"/>
      <c r="F57" s="230"/>
      <c r="G57" s="230"/>
      <c r="H57" s="230"/>
      <c r="I57" s="237"/>
      <c r="J57" s="257"/>
      <c r="K57" s="258"/>
    </row>
    <row r="58" spans="1:11" ht="15">
      <c r="A58" s="229" t="s">
        <v>90</v>
      </c>
      <c r="B58" s="230"/>
      <c r="C58" s="230"/>
      <c r="D58" s="235"/>
      <c r="E58" s="236"/>
      <c r="F58" s="230" t="s">
        <v>91</v>
      </c>
      <c r="G58" s="230"/>
      <c r="H58" s="230"/>
      <c r="I58" s="243">
        <v>0</v>
      </c>
      <c r="J58" s="257"/>
      <c r="K58" s="258"/>
    </row>
    <row r="59" spans="1:11" ht="15">
      <c r="A59" s="229"/>
      <c r="B59" s="230" t="s">
        <v>92</v>
      </c>
      <c r="C59" s="230"/>
      <c r="D59" s="235"/>
      <c r="E59" s="236"/>
      <c r="F59" s="230"/>
      <c r="G59" s="230"/>
      <c r="H59" s="230"/>
      <c r="I59" s="237"/>
      <c r="J59" s="257"/>
      <c r="K59" s="258"/>
    </row>
    <row r="60" spans="1:11" ht="15">
      <c r="A60" s="229"/>
      <c r="B60" s="230" t="s">
        <v>93</v>
      </c>
      <c r="C60" s="230"/>
      <c r="D60" s="235"/>
      <c r="E60" s="236"/>
      <c r="F60" s="230" t="s">
        <v>156</v>
      </c>
      <c r="G60" s="230"/>
      <c r="H60" s="230"/>
      <c r="I60" s="237"/>
      <c r="J60" s="257"/>
      <c r="K60" s="258"/>
    </row>
    <row r="61" spans="1:11" ht="15">
      <c r="A61" s="229"/>
      <c r="B61" s="238" t="s">
        <v>94</v>
      </c>
      <c r="C61" s="238"/>
      <c r="D61" s="239"/>
      <c r="E61" s="236"/>
      <c r="F61" s="230"/>
      <c r="G61" s="238" t="s">
        <v>95</v>
      </c>
      <c r="H61" s="245"/>
      <c r="I61" s="246">
        <v>1.6</v>
      </c>
      <c r="J61" s="257"/>
      <c r="K61" s="258"/>
    </row>
    <row r="62" spans="1:11" ht="15">
      <c r="A62" s="229" t="s">
        <v>96</v>
      </c>
      <c r="B62" s="230"/>
      <c r="C62" s="230"/>
      <c r="D62" s="247">
        <v>0</v>
      </c>
      <c r="E62" s="236"/>
      <c r="F62" s="230"/>
      <c r="G62" s="230"/>
      <c r="H62" s="230"/>
      <c r="I62" s="237"/>
      <c r="J62" s="257"/>
      <c r="K62" s="258"/>
    </row>
    <row r="63" spans="1:11" ht="15">
      <c r="A63" s="229"/>
      <c r="B63" s="230"/>
      <c r="C63" s="230"/>
      <c r="D63" s="230"/>
      <c r="E63" s="236"/>
      <c r="F63" s="230" t="s">
        <v>125</v>
      </c>
      <c r="G63" s="230"/>
      <c r="H63" s="230"/>
      <c r="I63" s="248">
        <f>I56+I58+I61</f>
        <v>12.550259836674091</v>
      </c>
      <c r="J63" s="257"/>
      <c r="K63" s="258"/>
    </row>
    <row r="64" spans="1:11" ht="16" thickBot="1">
      <c r="A64" s="229"/>
      <c r="B64" s="230"/>
      <c r="C64" s="230"/>
      <c r="D64" s="235"/>
      <c r="E64" s="236"/>
      <c r="F64" s="230"/>
      <c r="G64" s="230"/>
      <c r="H64" s="230"/>
      <c r="I64" s="237"/>
      <c r="J64" s="257"/>
      <c r="K64" s="258"/>
    </row>
    <row r="65" spans="1:11" ht="16" thickBot="1">
      <c r="A65" s="229"/>
      <c r="B65" s="230"/>
      <c r="C65" s="230"/>
      <c r="D65" s="235"/>
      <c r="E65" s="236"/>
      <c r="F65" s="249" t="s">
        <v>127</v>
      </c>
      <c r="G65" s="180"/>
      <c r="H65" s="249"/>
      <c r="I65" s="250">
        <f>D67-I63</f>
        <v>14.73259094283593</v>
      </c>
      <c r="J65" s="257"/>
      <c r="K65" s="258"/>
    </row>
    <row r="66" spans="1:11" ht="15">
      <c r="A66" s="229"/>
      <c r="B66" s="230"/>
      <c r="C66" s="230" t="s">
        <v>106</v>
      </c>
      <c r="D66" s="235"/>
      <c r="E66" s="236"/>
      <c r="F66" s="230"/>
      <c r="G66" s="249" t="s">
        <v>126</v>
      </c>
      <c r="H66" s="230"/>
      <c r="I66" s="237"/>
      <c r="J66" s="257"/>
      <c r="K66" s="258"/>
    </row>
    <row r="67" spans="1:11" ht="16" thickBot="1">
      <c r="A67" s="260" t="s">
        <v>128</v>
      </c>
      <c r="B67" s="261"/>
      <c r="C67" s="261"/>
      <c r="D67" s="262">
        <f>D56+D62</f>
        <v>27.282850779510021</v>
      </c>
      <c r="E67" s="263"/>
      <c r="F67" s="261" t="s">
        <v>129</v>
      </c>
      <c r="G67" s="261"/>
      <c r="H67" s="261"/>
      <c r="I67" s="262">
        <f>I63+I65</f>
        <v>27.282850779510021</v>
      </c>
      <c r="J67" s="264"/>
      <c r="K67" s="265"/>
    </row>
    <row r="69" spans="1:11">
      <c r="A69" s="266"/>
      <c r="B69" s="266"/>
      <c r="C69" s="266"/>
      <c r="D69" s="266"/>
      <c r="E69" s="266"/>
      <c r="F69" s="266"/>
      <c r="G69" s="266"/>
      <c r="H69" s="266"/>
      <c r="I69" s="266"/>
      <c r="J69" s="266"/>
    </row>
    <row r="70" spans="1:11">
      <c r="A70" s="267" t="s">
        <v>58</v>
      </c>
      <c r="B70" s="266"/>
      <c r="C70" s="266"/>
      <c r="D70" s="266"/>
      <c r="E70" s="266"/>
      <c r="F70" s="266"/>
      <c r="G70" s="266"/>
      <c r="H70" s="266"/>
      <c r="I70" s="266"/>
    </row>
    <row r="71" spans="1:11">
      <c r="A71" s="267" t="s">
        <v>333</v>
      </c>
      <c r="B71" s="266"/>
      <c r="C71" s="266"/>
      <c r="D71" s="266"/>
      <c r="E71" s="266"/>
      <c r="F71" s="266"/>
      <c r="G71" s="266"/>
      <c r="H71" s="266"/>
      <c r="I71" s="266"/>
    </row>
    <row r="72" spans="1:11">
      <c r="A72" s="267" t="s">
        <v>60</v>
      </c>
      <c r="B72" s="266"/>
      <c r="C72" s="266"/>
      <c r="D72" s="266"/>
      <c r="E72" s="266"/>
      <c r="F72" s="266"/>
      <c r="G72" s="266"/>
      <c r="H72" s="266"/>
      <c r="I72" s="266"/>
    </row>
    <row r="73" spans="1:11">
      <c r="A73" s="268" t="s">
        <v>207</v>
      </c>
      <c r="B73" s="269"/>
      <c r="C73" s="269"/>
      <c r="D73" s="269"/>
      <c r="E73" s="269"/>
      <c r="F73" s="269"/>
      <c r="G73" s="269"/>
      <c r="H73" s="270"/>
      <c r="I73" s="266"/>
    </row>
    <row r="74" spans="1:11">
      <c r="A74" s="271" t="s">
        <v>407</v>
      </c>
      <c r="B74" s="272"/>
      <c r="C74" s="272"/>
      <c r="D74" s="272"/>
      <c r="E74" s="272"/>
      <c r="F74" s="272"/>
      <c r="G74" s="272"/>
      <c r="H74" s="273"/>
      <c r="I74" s="266"/>
    </row>
    <row r="75" spans="1:11">
      <c r="A75" s="271"/>
      <c r="B75" s="272"/>
      <c r="C75" s="272"/>
      <c r="D75" s="272"/>
      <c r="E75" s="272"/>
      <c r="F75" s="272"/>
      <c r="G75" s="272"/>
      <c r="H75" s="273"/>
      <c r="I75" s="266"/>
    </row>
    <row r="76" spans="1:11">
      <c r="A76" s="271" t="s">
        <v>207</v>
      </c>
      <c r="B76" s="272"/>
      <c r="C76" s="272"/>
      <c r="D76" s="272"/>
      <c r="E76" s="272"/>
      <c r="F76" s="272"/>
      <c r="G76" s="272"/>
      <c r="H76" s="273"/>
      <c r="I76" s="266"/>
    </row>
    <row r="77" spans="1:11">
      <c r="A77" s="271" t="s">
        <v>207</v>
      </c>
      <c r="B77" s="272"/>
      <c r="C77" s="272"/>
      <c r="D77" s="272"/>
      <c r="E77" s="272"/>
      <c r="F77" s="272"/>
      <c r="G77" s="272"/>
      <c r="H77" s="273"/>
      <c r="I77" s="266"/>
    </row>
    <row r="78" spans="1:11">
      <c r="A78" s="271" t="s">
        <v>408</v>
      </c>
      <c r="B78" s="272"/>
      <c r="C78" s="272"/>
      <c r="D78" s="272"/>
      <c r="E78" s="272"/>
      <c r="F78" s="272"/>
      <c r="G78" s="272"/>
      <c r="H78" s="273"/>
      <c r="I78" s="266"/>
    </row>
    <row r="79" spans="1:11">
      <c r="A79" s="271"/>
      <c r="B79" s="272" t="s">
        <v>387</v>
      </c>
      <c r="C79" s="272"/>
      <c r="D79" s="272"/>
      <c r="E79" s="272"/>
      <c r="F79" s="272"/>
      <c r="G79" s="272"/>
      <c r="H79" s="273"/>
      <c r="I79" s="266"/>
    </row>
    <row r="80" spans="1:11">
      <c r="A80" s="271"/>
      <c r="B80" s="272"/>
      <c r="C80" s="272"/>
      <c r="D80" s="272"/>
      <c r="E80" s="272"/>
      <c r="F80" s="272"/>
      <c r="G80" s="272"/>
      <c r="H80" s="273"/>
      <c r="I80" s="266"/>
    </row>
    <row r="81" spans="1:9">
      <c r="A81" s="271" t="s">
        <v>409</v>
      </c>
      <c r="B81" s="272"/>
      <c r="C81" s="272"/>
      <c r="D81" s="272"/>
      <c r="E81" s="272"/>
      <c r="F81" s="272"/>
      <c r="G81" s="272"/>
      <c r="H81" s="273"/>
      <c r="I81" s="266"/>
    </row>
    <row r="82" spans="1:9">
      <c r="A82" s="271" t="s">
        <v>409</v>
      </c>
      <c r="B82" s="272"/>
      <c r="C82" s="272"/>
      <c r="D82" s="272"/>
      <c r="E82" s="272"/>
      <c r="F82" s="272"/>
      <c r="G82" s="272"/>
      <c r="H82" s="273"/>
      <c r="I82" s="266"/>
    </row>
    <row r="83" spans="1:9">
      <c r="A83" s="271" t="s">
        <v>207</v>
      </c>
      <c r="B83" s="272"/>
      <c r="C83" s="272"/>
      <c r="D83" s="272"/>
      <c r="E83" s="272"/>
      <c r="F83" s="272"/>
      <c r="G83" s="272"/>
      <c r="H83" s="273"/>
      <c r="I83" s="266"/>
    </row>
    <row r="84" spans="1:9">
      <c r="A84" s="271" t="s">
        <v>207</v>
      </c>
      <c r="B84" s="272"/>
      <c r="C84" s="272"/>
      <c r="D84" s="272"/>
      <c r="E84" s="272"/>
      <c r="F84" s="272"/>
      <c r="G84" s="272"/>
      <c r="H84" s="273"/>
      <c r="I84" s="266"/>
    </row>
    <row r="85" spans="1:9">
      <c r="A85" s="271" t="s">
        <v>207</v>
      </c>
      <c r="B85" s="272"/>
      <c r="C85" s="272"/>
      <c r="D85" s="272"/>
      <c r="E85" s="272"/>
      <c r="F85" s="272"/>
      <c r="G85" s="272"/>
      <c r="H85" s="273"/>
      <c r="I85" s="266"/>
    </row>
    <row r="86" spans="1:9">
      <c r="A86" s="271"/>
      <c r="B86" s="272"/>
      <c r="C86" s="272"/>
      <c r="D86" s="272"/>
      <c r="E86" s="272"/>
      <c r="F86" s="272"/>
      <c r="G86" s="272"/>
      <c r="H86" s="273"/>
      <c r="I86" s="266"/>
    </row>
    <row r="87" spans="1:9">
      <c r="A87" s="274"/>
      <c r="B87" s="291" t="s">
        <v>388</v>
      </c>
      <c r="C87" s="275"/>
      <c r="D87" s="275"/>
      <c r="E87" s="275"/>
      <c r="F87" s="275"/>
      <c r="G87" s="275"/>
      <c r="H87" s="276"/>
      <c r="I87" s="266"/>
    </row>
    <row r="88" spans="1:9">
      <c r="A88" s="266"/>
      <c r="B88" s="266"/>
      <c r="C88" s="266"/>
      <c r="D88" s="266"/>
      <c r="E88" s="266"/>
      <c r="F88" s="266"/>
      <c r="G88" s="266"/>
      <c r="H88" s="266"/>
      <c r="I88" s="266"/>
    </row>
    <row r="89" spans="1:9">
      <c r="A89" s="267" t="s">
        <v>59</v>
      </c>
      <c r="B89" s="266"/>
      <c r="C89" s="266"/>
      <c r="D89" s="266"/>
      <c r="E89" s="266"/>
      <c r="F89" s="266"/>
      <c r="G89" s="266"/>
      <c r="H89" s="266"/>
      <c r="I89" s="266"/>
    </row>
    <row r="90" spans="1:9">
      <c r="A90" s="267" t="s">
        <v>62</v>
      </c>
      <c r="B90" s="266"/>
      <c r="C90" s="266"/>
      <c r="D90" s="266"/>
      <c r="E90" s="266"/>
      <c r="F90" s="266"/>
      <c r="G90" s="266"/>
      <c r="H90" s="266"/>
      <c r="I90" s="266"/>
    </row>
    <row r="91" spans="1:9">
      <c r="A91" s="267" t="s">
        <v>61</v>
      </c>
      <c r="B91" s="266"/>
      <c r="C91" s="266"/>
      <c r="D91" s="266"/>
      <c r="E91" s="266"/>
      <c r="F91" s="266"/>
      <c r="G91" s="266"/>
      <c r="H91" s="266"/>
      <c r="I91" s="266"/>
    </row>
    <row r="92" spans="1:9">
      <c r="A92" s="267" t="s">
        <v>63</v>
      </c>
      <c r="B92" s="266"/>
      <c r="C92" s="266"/>
      <c r="D92" s="266"/>
      <c r="E92" s="266"/>
      <c r="F92" s="266"/>
      <c r="G92" s="266"/>
      <c r="H92" s="266"/>
      <c r="I92" s="266"/>
    </row>
    <row r="93" spans="1:9">
      <c r="A93" s="268" t="s">
        <v>387</v>
      </c>
      <c r="B93" s="269"/>
      <c r="C93" s="269"/>
      <c r="D93" s="269"/>
      <c r="E93" s="269"/>
      <c r="F93" s="269"/>
      <c r="G93" s="269"/>
      <c r="H93" s="270"/>
      <c r="I93" s="266"/>
    </row>
    <row r="94" spans="1:9">
      <c r="A94" s="271" t="s">
        <v>410</v>
      </c>
      <c r="B94" s="288" t="s">
        <v>207</v>
      </c>
      <c r="C94" s="293" t="s">
        <v>207</v>
      </c>
      <c r="D94" s="293" t="s">
        <v>207</v>
      </c>
      <c r="E94" s="293" t="s">
        <v>207</v>
      </c>
      <c r="F94" s="293" t="s">
        <v>207</v>
      </c>
      <c r="G94" s="293" t="s">
        <v>207</v>
      </c>
      <c r="H94" s="273"/>
      <c r="I94" s="266"/>
    </row>
    <row r="95" spans="1:9">
      <c r="A95" s="271" t="s">
        <v>411</v>
      </c>
      <c r="B95" s="272"/>
      <c r="C95" s="272"/>
      <c r="D95" s="272"/>
      <c r="E95" s="272"/>
      <c r="F95" s="272"/>
      <c r="G95" s="272"/>
      <c r="H95" s="273"/>
      <c r="I95" s="266"/>
    </row>
    <row r="96" spans="1:9">
      <c r="A96" s="271" t="s">
        <v>412</v>
      </c>
      <c r="B96" s="272"/>
      <c r="C96" s="272"/>
      <c r="D96" s="272"/>
      <c r="E96" s="272"/>
      <c r="F96" s="272"/>
      <c r="G96" s="272"/>
      <c r="H96" s="273"/>
      <c r="I96" s="266"/>
    </row>
    <row r="97" spans="1:9">
      <c r="A97" s="271" t="s">
        <v>387</v>
      </c>
      <c r="B97" s="272"/>
      <c r="C97" s="272"/>
      <c r="D97" s="272"/>
      <c r="E97" s="272"/>
      <c r="F97" s="272"/>
      <c r="G97" s="272"/>
      <c r="H97" s="273"/>
      <c r="I97" s="266"/>
    </row>
    <row r="98" spans="1:9">
      <c r="A98" s="271" t="s">
        <v>413</v>
      </c>
      <c r="B98" s="272"/>
      <c r="C98" s="272"/>
      <c r="D98" s="272"/>
      <c r="E98" s="272"/>
      <c r="F98" s="272"/>
      <c r="G98" s="272"/>
      <c r="H98" s="273"/>
      <c r="I98" s="266"/>
    </row>
    <row r="99" spans="1:9">
      <c r="A99" s="271"/>
      <c r="B99" s="272"/>
      <c r="C99" s="272"/>
      <c r="D99" s="272"/>
      <c r="E99" s="272"/>
      <c r="F99" s="272"/>
      <c r="G99" s="272"/>
      <c r="H99" s="273"/>
      <c r="I99" s="266"/>
    </row>
    <row r="100" spans="1:9">
      <c r="A100" s="271" t="s">
        <v>414</v>
      </c>
      <c r="B100" s="272"/>
      <c r="C100" s="272"/>
      <c r="D100" s="272"/>
      <c r="E100" s="272"/>
      <c r="F100" s="272"/>
      <c r="G100" s="272"/>
      <c r="H100" s="273"/>
      <c r="I100" s="266"/>
    </row>
    <row r="101" spans="1:9">
      <c r="A101" s="271" t="s">
        <v>414</v>
      </c>
      <c r="B101" s="272"/>
      <c r="C101" s="272"/>
      <c r="D101" s="272"/>
      <c r="E101" s="272"/>
      <c r="F101" s="272"/>
      <c r="G101" s="272"/>
      <c r="H101" s="273"/>
      <c r="I101" s="266"/>
    </row>
    <row r="102" spans="1:9">
      <c r="A102" s="271"/>
      <c r="B102" s="272"/>
      <c r="C102" s="292" t="s">
        <v>207</v>
      </c>
      <c r="D102" s="272"/>
      <c r="E102" s="272"/>
      <c r="F102" s="272"/>
      <c r="G102" s="272"/>
      <c r="H102" s="273"/>
      <c r="I102" s="266"/>
    </row>
    <row r="103" spans="1:9">
      <c r="A103" s="271" t="s">
        <v>415</v>
      </c>
      <c r="B103" s="272"/>
      <c r="C103" s="289" t="s">
        <v>207</v>
      </c>
      <c r="D103" s="289" t="s">
        <v>207</v>
      </c>
      <c r="E103" s="289" t="s">
        <v>207</v>
      </c>
      <c r="F103" s="289" t="s">
        <v>207</v>
      </c>
      <c r="G103" s="289" t="s">
        <v>207</v>
      </c>
      <c r="H103" s="273"/>
      <c r="I103" s="266"/>
    </row>
    <row r="104" spans="1:9">
      <c r="A104" s="271" t="s">
        <v>415</v>
      </c>
      <c r="B104" s="272"/>
      <c r="C104" s="289" t="s">
        <v>207</v>
      </c>
      <c r="D104" s="289" t="s">
        <v>207</v>
      </c>
      <c r="E104" s="289" t="s">
        <v>207</v>
      </c>
      <c r="F104" s="289" t="s">
        <v>207</v>
      </c>
      <c r="G104" s="289" t="s">
        <v>207</v>
      </c>
      <c r="H104" s="273"/>
      <c r="I104" s="266"/>
    </row>
    <row r="105" spans="1:9">
      <c r="A105" s="271"/>
      <c r="B105" s="272" t="s">
        <v>416</v>
      </c>
      <c r="C105" s="272"/>
      <c r="D105" s="272"/>
      <c r="E105" s="272"/>
      <c r="F105" s="272"/>
      <c r="G105" s="272"/>
      <c r="H105" s="273"/>
      <c r="I105" s="266"/>
    </row>
    <row r="106" spans="1:9">
      <c r="A106" s="271"/>
      <c r="B106" s="272"/>
      <c r="C106" s="272"/>
      <c r="D106" s="272"/>
      <c r="E106" s="272"/>
      <c r="F106" s="272"/>
      <c r="G106" s="272"/>
      <c r="H106" s="273"/>
      <c r="I106" s="266"/>
    </row>
    <row r="107" spans="1:9">
      <c r="A107" s="271" t="s">
        <v>388</v>
      </c>
      <c r="B107" s="272"/>
      <c r="C107" s="272"/>
      <c r="D107" s="272"/>
      <c r="E107" s="272"/>
      <c r="F107" s="272"/>
      <c r="G107" s="272"/>
      <c r="H107" s="273"/>
      <c r="I107" s="266"/>
    </row>
    <row r="108" spans="1:9">
      <c r="A108" s="271" t="s">
        <v>417</v>
      </c>
      <c r="B108" s="272"/>
      <c r="C108" s="272"/>
      <c r="D108" s="272"/>
      <c r="E108" s="272"/>
      <c r="F108" s="272"/>
      <c r="G108" s="272"/>
      <c r="H108" s="273"/>
      <c r="I108" s="266"/>
    </row>
    <row r="109" spans="1:9">
      <c r="A109" s="271"/>
      <c r="B109" s="272"/>
      <c r="C109" s="272"/>
      <c r="D109" s="272"/>
      <c r="E109" s="272"/>
      <c r="F109" s="272"/>
      <c r="G109" s="272"/>
      <c r="H109" s="273"/>
      <c r="I109" s="266"/>
    </row>
    <row r="110" spans="1:9">
      <c r="A110" s="271" t="s">
        <v>417</v>
      </c>
      <c r="B110" s="272"/>
      <c r="C110" s="272"/>
      <c r="D110" s="272"/>
      <c r="E110" s="272"/>
      <c r="F110" s="272"/>
      <c r="G110" s="272"/>
      <c r="H110" s="273"/>
      <c r="I110" s="266"/>
    </row>
    <row r="111" spans="1:9">
      <c r="A111" s="271" t="s">
        <v>418</v>
      </c>
      <c r="B111" s="272"/>
      <c r="C111" s="272"/>
      <c r="D111" s="272"/>
      <c r="E111" s="272"/>
      <c r="F111" s="272"/>
      <c r="G111" s="272"/>
      <c r="H111" s="273"/>
      <c r="I111" s="266"/>
    </row>
    <row r="112" spans="1:9">
      <c r="A112" s="274" t="s">
        <v>207</v>
      </c>
      <c r="B112" s="275" t="s">
        <v>419</v>
      </c>
      <c r="C112" s="290" t="s">
        <v>419</v>
      </c>
      <c r="D112" s="290" t="s">
        <v>419</v>
      </c>
      <c r="E112" s="290" t="s">
        <v>207</v>
      </c>
      <c r="F112" s="290" t="s">
        <v>207</v>
      </c>
      <c r="G112" s="290" t="s">
        <v>207</v>
      </c>
      <c r="H112" s="276"/>
      <c r="I112" s="266"/>
    </row>
    <row r="113" spans="1:9">
      <c r="A113" s="266"/>
      <c r="B113" s="266"/>
      <c r="C113" s="266"/>
      <c r="D113" s="266"/>
      <c r="E113" s="266"/>
      <c r="F113" s="266"/>
      <c r="G113" s="266"/>
      <c r="H113" s="266"/>
      <c r="I113" s="266"/>
    </row>
    <row r="114" spans="1:9">
      <c r="A114" s="266"/>
      <c r="B114" s="266"/>
      <c r="C114" s="266"/>
      <c r="D114" s="266"/>
      <c r="E114" s="266"/>
      <c r="F114" s="266"/>
      <c r="G114" s="266"/>
      <c r="H114" s="266"/>
      <c r="I114" s="266"/>
    </row>
    <row r="115" spans="1:9">
      <c r="A115" s="266"/>
      <c r="B115" s="266"/>
      <c r="C115" s="266"/>
      <c r="D115" s="266"/>
      <c r="E115" s="266"/>
      <c r="F115" s="266"/>
      <c r="G115" s="266"/>
      <c r="H115" s="266"/>
      <c r="I115" s="266"/>
    </row>
    <row r="116" spans="1:9">
      <c r="A116" s="266"/>
      <c r="B116" s="266"/>
      <c r="C116" s="266"/>
      <c r="D116" s="266"/>
      <c r="E116" s="266"/>
      <c r="F116" s="266"/>
      <c r="G116" s="266"/>
      <c r="H116" s="266"/>
      <c r="I116" s="266"/>
    </row>
    <row r="117" spans="1:9">
      <c r="A117" s="266"/>
      <c r="B117" s="266"/>
      <c r="C117" s="266"/>
      <c r="D117" s="266"/>
      <c r="E117" s="266"/>
      <c r="F117" s="266"/>
      <c r="G117" s="266"/>
      <c r="H117" s="266"/>
      <c r="I117" s="266"/>
    </row>
    <row r="118" spans="1:9">
      <c r="A118" s="266"/>
      <c r="B118" s="266"/>
      <c r="C118" s="266"/>
      <c r="D118" s="266"/>
      <c r="E118" s="266"/>
      <c r="F118" s="266"/>
      <c r="G118" s="266"/>
      <c r="H118" s="266"/>
      <c r="I118" s="266"/>
    </row>
    <row r="119" spans="1:9">
      <c r="A119" s="266"/>
      <c r="B119" s="266"/>
      <c r="C119" s="266"/>
      <c r="D119" s="266"/>
      <c r="E119" s="266"/>
      <c r="F119" s="266"/>
      <c r="G119" s="266"/>
      <c r="H119" s="266"/>
      <c r="I119" s="266"/>
    </row>
    <row r="120" spans="1:9">
      <c r="A120" s="266"/>
      <c r="B120" s="266"/>
      <c r="C120" s="266"/>
      <c r="D120" s="266"/>
      <c r="E120" s="266"/>
      <c r="F120" s="266"/>
      <c r="G120" s="266"/>
      <c r="H120" s="266"/>
      <c r="I120" s="266"/>
    </row>
    <row r="121" spans="1:9">
      <c r="A121" s="266"/>
      <c r="B121" s="266"/>
      <c r="C121" s="266"/>
      <c r="D121" s="266"/>
      <c r="E121" s="266"/>
      <c r="F121" s="266"/>
      <c r="G121" s="266"/>
      <c r="H121" s="266"/>
      <c r="I121" s="266"/>
    </row>
    <row r="122" spans="1:9">
      <c r="A122" s="266"/>
      <c r="B122" s="266"/>
      <c r="C122" s="266"/>
      <c r="D122" s="266"/>
      <c r="E122" s="266"/>
      <c r="F122" s="266"/>
      <c r="G122" s="266"/>
      <c r="H122" s="266"/>
      <c r="I122" s="266"/>
    </row>
    <row r="123" spans="1:9">
      <c r="A123" s="266"/>
      <c r="B123" s="266"/>
      <c r="C123" s="266"/>
      <c r="D123" s="266"/>
      <c r="E123" s="266"/>
      <c r="F123" s="266"/>
      <c r="G123" s="266"/>
      <c r="H123" s="266"/>
      <c r="I123" s="266"/>
    </row>
    <row r="124" spans="1:9">
      <c r="A124" s="266"/>
      <c r="B124" s="266"/>
      <c r="C124" s="266"/>
      <c r="D124" s="266"/>
      <c r="E124" s="266"/>
      <c r="F124" s="266"/>
      <c r="G124" s="266"/>
      <c r="H124" s="266"/>
      <c r="I124" s="266"/>
    </row>
    <row r="125" spans="1:9">
      <c r="A125" s="266"/>
      <c r="B125" s="266"/>
      <c r="C125" s="266"/>
      <c r="D125" s="266"/>
      <c r="E125" s="266"/>
      <c r="F125" s="266"/>
      <c r="G125" s="266"/>
      <c r="H125" s="266"/>
      <c r="I125" s="266"/>
    </row>
    <row r="126" spans="1:9">
      <c r="A126" s="266"/>
      <c r="B126" s="266"/>
      <c r="C126" s="266"/>
      <c r="D126" s="266"/>
      <c r="E126" s="266"/>
      <c r="F126" s="266"/>
      <c r="G126" s="266"/>
      <c r="H126" s="266"/>
      <c r="I126" s="266"/>
    </row>
    <row r="127" spans="1:9">
      <c r="A127" s="266"/>
      <c r="B127" s="266"/>
      <c r="C127" s="266"/>
      <c r="D127" s="266"/>
      <c r="E127" s="266"/>
      <c r="F127" s="266"/>
      <c r="G127" s="266"/>
      <c r="H127" s="266"/>
      <c r="I127" s="266"/>
    </row>
  </sheetData>
  <phoneticPr fontId="8" type="noConversion"/>
  <printOptions headings="1" gridLine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 THIS FIRST </vt:lpstr>
      <vt:lpstr>IS-BS Model</vt:lpstr>
      <vt:lpstr>Flow Diagram</vt:lpstr>
      <vt:lpstr>Wk1 Q1 SOLUTION</vt:lpstr>
      <vt:lpstr>Wk1 Q2 SOLUTION</vt:lpstr>
      <vt:lpstr>Q1</vt:lpstr>
      <vt:lpstr>Optional Long Form</vt:lpstr>
      <vt:lpstr>Q2</vt:lpstr>
    </vt:vector>
  </TitlesOfParts>
  <Company>Kellogg School of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Kellogg User</dc:creator>
  <cp:lastModifiedBy>Sergio Gallego</cp:lastModifiedBy>
  <cp:lastPrinted>2009-10-22T01:47:14Z</cp:lastPrinted>
  <dcterms:created xsi:type="dcterms:W3CDTF">2009-01-31T21:46:02Z</dcterms:created>
  <dcterms:modified xsi:type="dcterms:W3CDTF">2013-07-17T13:54:06Z</dcterms:modified>
</cp:coreProperties>
</file>